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B80D23FE-9E82-4999-B5C8-39BBD8341070}" xr6:coauthVersionLast="36" xr6:coauthVersionMax="47" xr10:uidLastSave="{00000000-0000-0000-0000-000000000000}"/>
  <bookViews>
    <workbookView xWindow="-120" yWindow="-120" windowWidth="29040" windowHeight="15840" xr2:uid="{00000000-000D-0000-FFFF-FFFF00000000}"/>
  </bookViews>
  <sheets>
    <sheet name="2-1" sheetId="43" r:id="rId1"/>
    <sheet name="2-2" sheetId="2" r:id="rId2"/>
    <sheet name="2-3" sheetId="3" r:id="rId3"/>
    <sheet name="2-4" sheetId="4" r:id="rId4"/>
    <sheet name="2-5" sheetId="5" r:id="rId5"/>
    <sheet name="2-6" sheetId="6" r:id="rId6"/>
    <sheet name="2-7(1)" sheetId="35" r:id="rId7"/>
    <sheet name="2-7(2)" sheetId="44" r:id="rId8"/>
    <sheet name="2-8(1)" sheetId="45" r:id="rId9"/>
    <sheet name="2-8(2)" sheetId="46" r:id="rId10"/>
    <sheet name="2-8(3)" sheetId="47" r:id="rId11"/>
    <sheet name="2-9(1)" sheetId="48" r:id="rId12"/>
    <sheet name="2-9(2)" sheetId="49" r:id="rId13"/>
    <sheet name="2-10(1)" sheetId="50" r:id="rId14"/>
    <sheet name="2-10(2)" sheetId="51" r:id="rId15"/>
    <sheet name="2-11(1)" sheetId="52" r:id="rId16"/>
    <sheet name="2-11(2)" sheetId="53" r:id="rId17"/>
    <sheet name="2-12" sheetId="31" r:id="rId18"/>
    <sheet name="2-13" sheetId="32" r:id="rId19"/>
    <sheet name="2-14" sheetId="33" r:id="rId20"/>
    <sheet name="2-15" sheetId="34" r:id="rId21"/>
    <sheet name="2-16" sheetId="36" r:id="rId22"/>
    <sheet name="2-17" sheetId="37" r:id="rId23"/>
    <sheet name="2-18" sheetId="20" r:id="rId24"/>
    <sheet name="2-19" sheetId="21" r:id="rId25"/>
    <sheet name="2-20" sheetId="40" r:id="rId26"/>
    <sheet name="2-21" sheetId="38" r:id="rId27"/>
    <sheet name="2-22" sheetId="39" r:id="rId28"/>
    <sheet name="2-23" sheetId="42" r:id="rId29"/>
    <sheet name="2-24" sheetId="41" r:id="rId30"/>
  </sheets>
  <definedNames>
    <definedName name="____A６５800" localSheetId="25">#REF!</definedName>
    <definedName name="____A６５９９９" localSheetId="25">#REF!</definedName>
    <definedName name="____A66999" localSheetId="25">#REF!</definedName>
    <definedName name="____A６９９９９" localSheetId="25">#REF!</definedName>
    <definedName name="____A７００００" localSheetId="25">#REF!</definedName>
    <definedName name="____A９００００" localSheetId="25">#REF!</definedName>
    <definedName name="____KM1" localSheetId="25">#REF!</definedName>
    <definedName name="___A６５800" localSheetId="0">#REF!</definedName>
    <definedName name="___A６５800" localSheetId="28">#REF!</definedName>
    <definedName name="___A６５800" localSheetId="29">#REF!</definedName>
    <definedName name="___A６５800" localSheetId="6">#REF!</definedName>
    <definedName name="___A６５800" localSheetId="7">#REF!</definedName>
    <definedName name="___A６５800">#REF!</definedName>
    <definedName name="___A６５９９９" localSheetId="0">#REF!</definedName>
    <definedName name="___A６５９９９" localSheetId="28">#REF!</definedName>
    <definedName name="___A６５９９９" localSheetId="29">#REF!</definedName>
    <definedName name="___A６５９９９" localSheetId="6">#REF!</definedName>
    <definedName name="___A６５９９９" localSheetId="7">#REF!</definedName>
    <definedName name="___A６５９９９">#REF!</definedName>
    <definedName name="___A66999" localSheetId="0">#REF!</definedName>
    <definedName name="___A66999" localSheetId="28">#REF!</definedName>
    <definedName name="___A66999" localSheetId="29">#REF!</definedName>
    <definedName name="___A66999" localSheetId="6">#REF!</definedName>
    <definedName name="___A66999" localSheetId="7">#REF!</definedName>
    <definedName name="___A66999">#REF!</definedName>
    <definedName name="___A６９９９９" localSheetId="6">#REF!</definedName>
    <definedName name="___A６９９９９">#REF!</definedName>
    <definedName name="___A７００００" localSheetId="6">#REF!</definedName>
    <definedName name="___A７００００">#REF!</definedName>
    <definedName name="___A９００００" localSheetId="6">#REF!</definedName>
    <definedName name="___A９００００">#REF!</definedName>
    <definedName name="___KM1" localSheetId="6">#REF!</definedName>
    <definedName name="___KM1">#REF!</definedName>
    <definedName name="__A６５800" localSheetId="21">#REF!</definedName>
    <definedName name="__A６５800" localSheetId="29">#REF!</definedName>
    <definedName name="__A６５800" localSheetId="6">#REF!</definedName>
    <definedName name="__A６５800">#REF!</definedName>
    <definedName name="__A６５９９９" localSheetId="21">#REF!</definedName>
    <definedName name="__A６５９９９" localSheetId="29">#REF!</definedName>
    <definedName name="__A６５９９９" localSheetId="6">#REF!</definedName>
    <definedName name="__A６５９９９">#REF!</definedName>
    <definedName name="__A66999" localSheetId="21">#REF!</definedName>
    <definedName name="__A66999" localSheetId="29">#REF!</definedName>
    <definedName name="__A66999" localSheetId="6">#REF!</definedName>
    <definedName name="__A66999">#REF!</definedName>
    <definedName name="__A６９９９９" localSheetId="21">#REF!</definedName>
    <definedName name="__A６９９９９" localSheetId="29">#REF!</definedName>
    <definedName name="__A６９９９９" localSheetId="6">#REF!</definedName>
    <definedName name="__A６９９９９">#REF!</definedName>
    <definedName name="__A７００００" localSheetId="21">#REF!</definedName>
    <definedName name="__A７００００" localSheetId="29">#REF!</definedName>
    <definedName name="__A７００００" localSheetId="6">#REF!</definedName>
    <definedName name="__A７００００">#REF!</definedName>
    <definedName name="__A９００００" localSheetId="21">#REF!</definedName>
    <definedName name="__A９００００" localSheetId="29">#REF!</definedName>
    <definedName name="__A９００００" localSheetId="6">#REF!</definedName>
    <definedName name="__A９００００">#REF!</definedName>
    <definedName name="__KM1" localSheetId="21">#REF!</definedName>
    <definedName name="__KM1" localSheetId="29">#REF!</definedName>
    <definedName name="__KM1" localSheetId="6">#REF!</definedName>
    <definedName name="__KM1">#REF!</definedName>
    <definedName name="_A６５800" localSheetId="28">#REF!</definedName>
    <definedName name="_A６５800" localSheetId="6">#REF!</definedName>
    <definedName name="_A６５800">#REF!</definedName>
    <definedName name="_A６５９９９" localSheetId="28">#REF!</definedName>
    <definedName name="_A６５９９９" localSheetId="6">#REF!</definedName>
    <definedName name="_A６５９９９">#REF!</definedName>
    <definedName name="_A66999" localSheetId="28">#REF!</definedName>
    <definedName name="_A66999" localSheetId="6">#REF!</definedName>
    <definedName name="_A66999">#REF!</definedName>
    <definedName name="_A６９９９９" localSheetId="28">#REF!</definedName>
    <definedName name="_A６９９９９" localSheetId="6">#REF!</definedName>
    <definedName name="_A６９９９９">#REF!</definedName>
    <definedName name="_A７００００" localSheetId="28">#REF!</definedName>
    <definedName name="_A７００００" localSheetId="6">#REF!</definedName>
    <definedName name="_A７００００">#REF!</definedName>
    <definedName name="_A９００００" localSheetId="28">#REF!</definedName>
    <definedName name="_A９００００" localSheetId="6">#REF!</definedName>
    <definedName name="_A９００００">#REF!</definedName>
    <definedName name="_KM1" localSheetId="28">#REF!</definedName>
    <definedName name="_KM1" localSheetId="6">#REF!</definedName>
    <definedName name="_KM1">#REF!</definedName>
    <definedName name="A６５536800" localSheetId="21">#REF!</definedName>
    <definedName name="A６５536800" localSheetId="23">#REF!</definedName>
    <definedName name="A６５536800" localSheetId="24">#REF!</definedName>
    <definedName name="A６５536800" localSheetId="25">#REF!</definedName>
    <definedName name="A６５536800" localSheetId="28">#REF!</definedName>
    <definedName name="A６５536800" localSheetId="29">#REF!</definedName>
    <definedName name="A６５536800" localSheetId="6">#REF!</definedName>
    <definedName name="A６５536800">#REF!</definedName>
    <definedName name="_xlnm.Print_Area" localSheetId="0">'2-1'!$A$1:$J$43</definedName>
    <definedName name="_xlnm.Print_Area" localSheetId="13">'2-10(1)'!$A$1:$M$10</definedName>
    <definedName name="_xlnm.Print_Area" localSheetId="14">'2-10(2)'!$A$1:$M$9</definedName>
    <definedName name="_xlnm.Print_Area" localSheetId="15">'2-11(1)'!$A$1:$J$10</definedName>
    <definedName name="_xlnm.Print_Area" localSheetId="16">'2-11(2)'!$A$1:$G$9</definedName>
    <definedName name="_xlnm.Print_Area" localSheetId="17">'2-12'!$A$1:$E$123</definedName>
    <definedName name="_xlnm.Print_Area" localSheetId="18">'2-13'!$A$1:$E$61</definedName>
    <definedName name="_xlnm.Print_Area" localSheetId="19">'2-14'!$A$1:$E$60</definedName>
    <definedName name="_xlnm.Print_Area" localSheetId="20">'2-15'!$A$1:$E$47</definedName>
    <definedName name="_xlnm.Print_Area" localSheetId="21">'2-16'!$A$1:$G$13</definedName>
    <definedName name="_xlnm.Print_Area" localSheetId="22">'2-17'!$A$1:$G$8</definedName>
    <definedName name="_xlnm.Print_Area" localSheetId="23">'2-18'!$A$1:$D$16</definedName>
    <definedName name="_xlnm.Print_Area" localSheetId="24">'2-19'!$A$1:$E$41</definedName>
    <definedName name="_xlnm.Print_Area" localSheetId="1">'2-2'!$A$1:$I$11</definedName>
    <definedName name="_xlnm.Print_Area" localSheetId="25">'2-20'!$A$1:$G$9</definedName>
    <definedName name="_xlnm.Print_Area" localSheetId="26">'2-21'!$A$1:$E$9</definedName>
    <definedName name="_xlnm.Print_Area" localSheetId="27">'2-22'!$A$1:$F$10</definedName>
    <definedName name="_xlnm.Print_Area" localSheetId="28">'2-23'!$A$1:$E$25</definedName>
    <definedName name="_xlnm.Print_Area" localSheetId="29">'2-24'!$A$1:$E$26</definedName>
    <definedName name="_xlnm.Print_Area" localSheetId="2">'2-3'!$A$1:$F$48</definedName>
    <definedName name="_xlnm.Print_Area" localSheetId="3">'2-4'!$A$1:$F$31</definedName>
    <definedName name="_xlnm.Print_Area" localSheetId="4">'2-5'!$A$1:$G$28</definedName>
    <definedName name="_xlnm.Print_Area" localSheetId="5">'2-6'!$A$1:$G$26</definedName>
    <definedName name="_xlnm.Print_Area" localSheetId="6">'2-7(1)'!$A$1:$N$38</definedName>
    <definedName name="_xlnm.Print_Area" localSheetId="7">'2-7(2)'!$A$1:$N$15</definedName>
    <definedName name="_xlnm.Print_Area" localSheetId="8">'2-8(1)'!$A$1:$P$11</definedName>
    <definedName name="_xlnm.Print_Area" localSheetId="9">'2-8(2)'!$A$1:$M$10</definedName>
    <definedName name="_xlnm.Print_Area" localSheetId="10">'2-8(3)'!$A$1:$N$10</definedName>
    <definedName name="_xlnm.Print_Area" localSheetId="11">'2-9(1)'!$A$1:$K$10</definedName>
    <definedName name="_xlnm.Print_Area" localSheetId="12">'2-9(2)'!$A$1:$L$9</definedName>
    <definedName name="未" localSheetId="0">#REF!</definedName>
    <definedName name="未" localSheetId="21">#REF!</definedName>
    <definedName name="未" localSheetId="23">#REF!</definedName>
    <definedName name="未" localSheetId="24">#REF!</definedName>
    <definedName name="未" localSheetId="25">#REF!</definedName>
    <definedName name="未" localSheetId="28">#REF!</definedName>
    <definedName name="未" localSheetId="29">#REF!</definedName>
    <definedName name="未" localSheetId="6">#REF!</definedName>
    <definedName name="未" localSheetId="7">#REF!</definedName>
    <definedName name="未">#REF!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1" l="1"/>
  <c r="E46" i="34" l="1"/>
  <c r="E45" i="34"/>
  <c r="E44" i="34"/>
  <c r="E43" i="34"/>
  <c r="E42" i="34"/>
  <c r="E41" i="34"/>
  <c r="E40" i="34"/>
  <c r="E39" i="34"/>
  <c r="E38" i="34"/>
  <c r="E37" i="34"/>
  <c r="E36" i="34"/>
  <c r="E35" i="34"/>
  <c r="E34" i="34"/>
  <c r="E33" i="34"/>
  <c r="D31" i="34"/>
  <c r="E31" i="34" s="1"/>
  <c r="C31" i="34"/>
  <c r="E24" i="34"/>
  <c r="E23" i="34"/>
  <c r="E22" i="34"/>
  <c r="E21" i="34"/>
  <c r="E20" i="34"/>
  <c r="E19" i="34"/>
  <c r="E18" i="34"/>
  <c r="E17" i="34"/>
  <c r="E16" i="34"/>
  <c r="E15" i="34"/>
  <c r="E14" i="34"/>
  <c r="E13" i="34"/>
  <c r="E12" i="34"/>
  <c r="E11" i="34"/>
  <c r="E10" i="34"/>
  <c r="E9" i="34"/>
  <c r="D7" i="34"/>
  <c r="E7" i="34" s="1"/>
  <c r="C7" i="34"/>
  <c r="E59" i="33"/>
  <c r="E58" i="33"/>
  <c r="E57" i="33"/>
  <c r="E56" i="33"/>
  <c r="E55" i="33"/>
  <c r="E54" i="33"/>
  <c r="E53" i="33"/>
  <c r="E52" i="33"/>
  <c r="E51" i="33"/>
  <c r="E50" i="33"/>
  <c r="E49" i="33"/>
  <c r="E48" i="33"/>
  <c r="E47" i="33"/>
  <c r="E46" i="33"/>
  <c r="E45" i="33"/>
  <c r="E44" i="33"/>
  <c r="E43" i="33"/>
  <c r="E42" i="33"/>
  <c r="E41" i="33"/>
  <c r="D39" i="33"/>
  <c r="E39" i="33" s="1"/>
  <c r="C39" i="33"/>
  <c r="E32" i="33"/>
  <c r="E31" i="33"/>
  <c r="E30" i="33"/>
  <c r="E29" i="33"/>
  <c r="E28" i="33"/>
  <c r="E27" i="33"/>
  <c r="E26" i="33"/>
  <c r="E25" i="33"/>
  <c r="E24" i="33"/>
  <c r="E23" i="33"/>
  <c r="E22" i="33"/>
  <c r="E21" i="33"/>
  <c r="E20" i="33"/>
  <c r="E19" i="33"/>
  <c r="E18" i="33"/>
  <c r="E17" i="33"/>
  <c r="E16" i="33"/>
  <c r="E15" i="33"/>
  <c r="E14" i="33"/>
  <c r="E13" i="33"/>
  <c r="E12" i="33"/>
  <c r="E11" i="33"/>
  <c r="E10" i="33"/>
  <c r="D8" i="33"/>
  <c r="E8" i="33" s="1"/>
  <c r="C8" i="33"/>
  <c r="E60" i="32"/>
  <c r="E59" i="32"/>
  <c r="E58" i="32"/>
  <c r="E57" i="32"/>
  <c r="E56" i="32"/>
  <c r="E55" i="32"/>
  <c r="E54" i="32"/>
  <c r="E53" i="32"/>
  <c r="E52" i="32"/>
  <c r="E51" i="32"/>
  <c r="E50" i="32"/>
  <c r="E49" i="32"/>
  <c r="E48" i="32"/>
  <c r="E47" i="32"/>
  <c r="E46" i="32"/>
  <c r="E45" i="32"/>
  <c r="E44" i="32"/>
  <c r="E43" i="32"/>
  <c r="E42" i="32"/>
  <c r="E41" i="32"/>
  <c r="E40" i="32"/>
  <c r="E39" i="32"/>
  <c r="E38" i="32"/>
  <c r="E37" i="32"/>
  <c r="E36" i="32"/>
  <c r="D34" i="32"/>
  <c r="C34" i="32"/>
  <c r="E34" i="32" s="1"/>
  <c r="E27" i="32"/>
  <c r="E26" i="32"/>
  <c r="E25" i="32"/>
  <c r="E24" i="32"/>
  <c r="E23" i="32"/>
  <c r="E22" i="32"/>
  <c r="E21" i="32"/>
  <c r="E20" i="32"/>
  <c r="E19" i="32"/>
  <c r="E18" i="32"/>
  <c r="E17" i="32"/>
  <c r="E16" i="32"/>
  <c r="E15" i="32"/>
  <c r="E14" i="32"/>
  <c r="E13" i="32"/>
  <c r="E12" i="32"/>
  <c r="E11" i="32"/>
  <c r="E10" i="32"/>
  <c r="D8" i="32"/>
  <c r="E8" i="32" s="1"/>
  <c r="C8" i="32"/>
  <c r="E122" i="31"/>
  <c r="E121" i="31"/>
  <c r="E120" i="31"/>
  <c r="E119" i="31"/>
  <c r="E118" i="31"/>
  <c r="E117" i="31"/>
  <c r="E116" i="31"/>
  <c r="E115" i="31"/>
  <c r="E114" i="31"/>
  <c r="E113" i="31"/>
  <c r="E112" i="31"/>
  <c r="E111" i="31"/>
  <c r="E110" i="31"/>
  <c r="E109" i="31"/>
  <c r="E108" i="31"/>
  <c r="E107" i="31"/>
  <c r="E106" i="31"/>
  <c r="E105" i="31"/>
  <c r="E104" i="31"/>
  <c r="E103" i="31"/>
  <c r="E102" i="31"/>
  <c r="E101" i="31"/>
  <c r="E100" i="31"/>
  <c r="E99" i="31"/>
  <c r="E98" i="31"/>
  <c r="E97" i="31"/>
  <c r="E96" i="31"/>
  <c r="E95" i="31"/>
  <c r="E94" i="31"/>
  <c r="E93" i="31"/>
  <c r="E92" i="31"/>
  <c r="E91" i="31"/>
  <c r="E90" i="31"/>
  <c r="E89" i="31"/>
  <c r="E88" i="31"/>
  <c r="E87" i="31"/>
  <c r="E86" i="31"/>
  <c r="E85" i="31"/>
  <c r="E84" i="31"/>
  <c r="E83" i="31"/>
  <c r="E82" i="31"/>
  <c r="D80" i="31"/>
  <c r="E80" i="31" s="1"/>
  <c r="C80" i="31"/>
  <c r="E72" i="31"/>
  <c r="E71" i="31"/>
  <c r="E70" i="31"/>
  <c r="E69" i="31"/>
  <c r="E68" i="31"/>
  <c r="E67" i="31"/>
  <c r="E66" i="31"/>
  <c r="E65" i="31"/>
  <c r="E60" i="31"/>
  <c r="E59" i="31"/>
  <c r="E58" i="31"/>
  <c r="E57" i="31"/>
  <c r="E56" i="31"/>
  <c r="E55" i="31"/>
  <c r="E54" i="31"/>
  <c r="E53" i="31"/>
  <c r="E52" i="31"/>
  <c r="E51" i="31"/>
  <c r="E50" i="31"/>
  <c r="E49" i="31"/>
  <c r="E48" i="31"/>
  <c r="E47" i="31"/>
  <c r="E46" i="31"/>
  <c r="E45" i="31"/>
  <c r="E44" i="31"/>
  <c r="E43" i="31"/>
  <c r="E42" i="31"/>
  <c r="E41" i="31"/>
  <c r="E40" i="31"/>
  <c r="E39" i="31"/>
  <c r="E38" i="31"/>
  <c r="E37" i="31"/>
  <c r="E36" i="31"/>
  <c r="E35" i="31"/>
  <c r="E34" i="31"/>
  <c r="E33" i="31"/>
  <c r="E32" i="31"/>
  <c r="E31" i="31"/>
  <c r="E30" i="31"/>
  <c r="E29" i="31"/>
  <c r="E28" i="31"/>
  <c r="E27" i="31"/>
  <c r="E26" i="31"/>
  <c r="E25" i="31"/>
  <c r="E24" i="31"/>
  <c r="E23" i="31"/>
  <c r="E22" i="31"/>
  <c r="E21" i="31"/>
  <c r="E20" i="31"/>
  <c r="E19" i="31"/>
  <c r="E18" i="31"/>
  <c r="E17" i="31"/>
  <c r="E16" i="31"/>
  <c r="E15" i="31"/>
  <c r="E14" i="31"/>
  <c r="E13" i="31"/>
  <c r="E12" i="31"/>
  <c r="E11" i="31"/>
  <c r="E10" i="31"/>
  <c r="E9" i="31"/>
  <c r="D7" i="31"/>
  <c r="E7" i="31" s="1"/>
  <c r="G7" i="53"/>
  <c r="F7" i="53"/>
  <c r="D7" i="53"/>
  <c r="C7" i="53"/>
  <c r="B7" i="53"/>
  <c r="J8" i="52"/>
  <c r="I8" i="52"/>
  <c r="H8" i="52"/>
  <c r="G8" i="52"/>
  <c r="F8" i="52"/>
  <c r="E8" i="52"/>
  <c r="D8" i="52"/>
  <c r="C8" i="52"/>
  <c r="B8" i="52"/>
  <c r="M7" i="51"/>
  <c r="L7" i="51"/>
  <c r="I7" i="51"/>
  <c r="H7" i="51"/>
  <c r="F7" i="51"/>
  <c r="C7" i="51"/>
  <c r="B7" i="51"/>
  <c r="M8" i="50"/>
  <c r="L8" i="50"/>
  <c r="K8" i="50"/>
  <c r="J8" i="50"/>
  <c r="I8" i="50"/>
  <c r="H8" i="50"/>
  <c r="G8" i="50"/>
  <c r="E8" i="50"/>
  <c r="D8" i="50"/>
  <c r="C8" i="50"/>
  <c r="B8" i="50"/>
  <c r="L7" i="49"/>
  <c r="K7" i="49"/>
  <c r="I7" i="49"/>
  <c r="H7" i="49"/>
  <c r="G7" i="49"/>
  <c r="F7" i="49"/>
  <c r="E7" i="49"/>
  <c r="D7" i="49"/>
  <c r="C7" i="49"/>
  <c r="B7" i="49"/>
  <c r="K8" i="48"/>
  <c r="J8" i="48"/>
  <c r="I8" i="48"/>
  <c r="H8" i="48"/>
  <c r="G8" i="48"/>
  <c r="F8" i="48"/>
  <c r="E8" i="48"/>
  <c r="D8" i="48"/>
  <c r="B8" i="48"/>
  <c r="N7" i="47"/>
  <c r="M7" i="47"/>
  <c r="L7" i="47"/>
  <c r="K7" i="47"/>
  <c r="J7" i="47"/>
  <c r="I7" i="47"/>
  <c r="H7" i="47"/>
  <c r="G7" i="47"/>
  <c r="F7" i="47"/>
  <c r="E7" i="47"/>
  <c r="D7" i="47"/>
  <c r="C7" i="47"/>
  <c r="B7" i="47"/>
  <c r="M7" i="46"/>
  <c r="L7" i="46"/>
  <c r="K7" i="46"/>
  <c r="J7" i="46"/>
  <c r="I7" i="46"/>
  <c r="H7" i="46"/>
  <c r="G7" i="46"/>
  <c r="F7" i="46"/>
  <c r="E7" i="46"/>
  <c r="D7" i="46"/>
  <c r="C7" i="46"/>
  <c r="B7" i="46"/>
  <c r="P8" i="45"/>
  <c r="N8" i="45"/>
  <c r="M8" i="45"/>
  <c r="L8" i="45"/>
  <c r="K8" i="45"/>
  <c r="J8" i="45"/>
  <c r="I8" i="45"/>
  <c r="H8" i="45"/>
  <c r="G8" i="45"/>
  <c r="F8" i="45"/>
  <c r="E8" i="45"/>
  <c r="D8" i="45"/>
  <c r="C8" i="45"/>
  <c r="B8" i="45"/>
  <c r="J13" i="44"/>
  <c r="F13" i="44"/>
  <c r="E13" i="44"/>
  <c r="D13" i="44"/>
  <c r="C13" i="44"/>
  <c r="B13" i="44"/>
  <c r="N12" i="44"/>
  <c r="N13" i="44" s="1"/>
  <c r="M12" i="44"/>
  <c r="M13" i="44" s="1"/>
  <c r="L12" i="44"/>
  <c r="L13" i="44" s="1"/>
  <c r="J12" i="44"/>
  <c r="F12" i="44"/>
  <c r="E12" i="44"/>
  <c r="D12" i="44"/>
  <c r="C12" i="44"/>
  <c r="B12" i="44"/>
  <c r="F25" i="6"/>
  <c r="F24" i="6"/>
  <c r="F23" i="6"/>
  <c r="F22" i="6"/>
  <c r="F21" i="6"/>
  <c r="F20" i="6"/>
  <c r="G18" i="6"/>
  <c r="E18" i="6"/>
  <c r="F18" i="6" s="1"/>
  <c r="F13" i="6"/>
  <c r="F12" i="6"/>
  <c r="F11" i="6"/>
  <c r="F10" i="6"/>
  <c r="F9" i="6"/>
  <c r="F8" i="6"/>
  <c r="G6" i="6"/>
  <c r="F6" i="6" s="1"/>
  <c r="E6" i="6"/>
  <c r="F27" i="5"/>
  <c r="F26" i="5"/>
  <c r="F25" i="5"/>
  <c r="F24" i="5"/>
  <c r="F23" i="5"/>
  <c r="G21" i="5"/>
  <c r="F21" i="5" s="1"/>
  <c r="E21" i="5"/>
  <c r="F16" i="5"/>
  <c r="F15" i="5"/>
  <c r="F14" i="5"/>
  <c r="F13" i="5"/>
  <c r="F12" i="5"/>
  <c r="F11" i="5"/>
  <c r="F10" i="5"/>
  <c r="F9" i="5"/>
  <c r="F8" i="5"/>
  <c r="G6" i="5"/>
  <c r="F6" i="5" s="1"/>
  <c r="E6" i="5"/>
  <c r="E30" i="4"/>
  <c r="E29" i="4"/>
  <c r="E28" i="4"/>
  <c r="E27" i="4"/>
  <c r="E26" i="4"/>
  <c r="E25" i="4"/>
  <c r="E24" i="4"/>
  <c r="F22" i="4"/>
  <c r="E22" i="4" s="1"/>
  <c r="D22" i="4"/>
  <c r="E15" i="4"/>
  <c r="E14" i="4"/>
  <c r="E13" i="4"/>
  <c r="E12" i="4"/>
  <c r="E11" i="4"/>
  <c r="E10" i="4"/>
  <c r="E9" i="4"/>
  <c r="E8" i="4"/>
  <c r="F6" i="4"/>
  <c r="E6" i="4" s="1"/>
  <c r="D6" i="4"/>
  <c r="E46" i="3"/>
  <c r="E45" i="3"/>
  <c r="E44" i="3"/>
  <c r="E43" i="3"/>
  <c r="E42" i="3"/>
  <c r="E41" i="3"/>
  <c r="E40" i="3"/>
  <c r="E39" i="3"/>
  <c r="E38" i="3"/>
  <c r="E37" i="3"/>
  <c r="F35" i="3"/>
  <c r="E35" i="3" s="1"/>
  <c r="D35" i="3"/>
  <c r="E29" i="3"/>
  <c r="E28" i="3"/>
  <c r="E27" i="3"/>
  <c r="E26" i="3"/>
  <c r="E25" i="3"/>
  <c r="E24" i="3"/>
  <c r="E23" i="3"/>
  <c r="E22" i="3"/>
  <c r="E21" i="3"/>
  <c r="E20" i="3"/>
  <c r="E19" i="3"/>
  <c r="E18" i="3"/>
  <c r="E17" i="3"/>
  <c r="E16" i="3"/>
  <c r="E15" i="3"/>
  <c r="E14" i="3"/>
  <c r="E13" i="3"/>
  <c r="E12" i="3"/>
  <c r="E11" i="3"/>
  <c r="E10" i="3"/>
  <c r="E9" i="3"/>
  <c r="E8" i="3"/>
  <c r="F6" i="3"/>
  <c r="E6" i="3" s="1"/>
  <c r="D6" i="3"/>
  <c r="I7" i="2"/>
  <c r="G7" i="2"/>
  <c r="E7" i="2"/>
  <c r="C7" i="2"/>
  <c r="I6" i="2"/>
  <c r="G6" i="2"/>
  <c r="E6" i="2"/>
  <c r="K12" i="44" l="1"/>
  <c r="K13" i="44" s="1"/>
</calcChain>
</file>

<file path=xl/sharedStrings.xml><?xml version="1.0" encoding="utf-8"?>
<sst xmlns="http://schemas.openxmlformats.org/spreadsheetml/2006/main" count="1024" uniqueCount="553">
  <si>
    <t>北</t>
  </si>
  <si>
    <t>港</t>
  </si>
  <si>
    <t>　    　　(％)</t>
  </si>
  <si>
    <t xml:space="preserve"> 　　　　(％)</t>
  </si>
  <si>
    <t>　　　　　(円)</t>
  </si>
  <si>
    <t>　　　(百万円)</t>
  </si>
  <si>
    <t>当初予算額</t>
  </si>
  <si>
    <t>比　　　率</t>
  </si>
  <si>
    <t>交　付　金</t>
  </si>
  <si>
    <t>区税負担額</t>
  </si>
  <si>
    <t>収　入　額</t>
  </si>
  <si>
    <t>当り予算額</t>
  </si>
  <si>
    <t>増　減　率</t>
  </si>
  <si>
    <t>一般財源</t>
  </si>
  <si>
    <t>財政調整</t>
  </si>
  <si>
    <t>住民一人当り</t>
  </si>
  <si>
    <t>特別区税</t>
  </si>
  <si>
    <t>住民一人</t>
  </si>
  <si>
    <t>指数</t>
  </si>
  <si>
    <t>年度</t>
  </si>
  <si>
    <t>介護保険特別会計</t>
  </si>
  <si>
    <t>予備費</t>
  </si>
  <si>
    <t>諸支出金</t>
  </si>
  <si>
    <t>公債費</t>
  </si>
  <si>
    <t>教育費</t>
  </si>
  <si>
    <t>土木費</t>
  </si>
  <si>
    <t>環境衛生費</t>
  </si>
  <si>
    <t>産業経済費</t>
  </si>
  <si>
    <t>民生費</t>
  </si>
  <si>
    <t>総務費</t>
  </si>
  <si>
    <t>議会費</t>
  </si>
  <si>
    <t>総額</t>
  </si>
  <si>
    <t>最終予算額</t>
  </si>
  <si>
    <t>補正予算額</t>
  </si>
  <si>
    <t>＜歳出＞</t>
  </si>
  <si>
    <t>特別区債</t>
  </si>
  <si>
    <t>諸収入</t>
  </si>
  <si>
    <t>繰越金</t>
  </si>
  <si>
    <t>繰入金</t>
  </si>
  <si>
    <t>寄付金</t>
  </si>
  <si>
    <t>財産収入</t>
  </si>
  <si>
    <t>都支出金</t>
  </si>
  <si>
    <t>国庫支出金</t>
  </si>
  <si>
    <t>使用料及び手数料</t>
  </si>
  <si>
    <t>分担金及び負担金</t>
  </si>
  <si>
    <t>特別区交付金</t>
  </si>
  <si>
    <t>交通安全対策特別交付金</t>
  </si>
  <si>
    <t>地方特例交付金</t>
  </si>
  <si>
    <t>ゴルフ場利用税交付金</t>
  </si>
  <si>
    <t>自動車取得税交付金</t>
  </si>
  <si>
    <t>地方消費税交付金</t>
  </si>
  <si>
    <t>株式等譲渡所得割交付金</t>
  </si>
  <si>
    <t>配当割交付金</t>
  </si>
  <si>
    <t>利子割交付金</t>
  </si>
  <si>
    <t>地方譲与税</t>
  </si>
  <si>
    <t>科目(款)</t>
  </si>
  <si>
    <t>＜歳入＞</t>
  </si>
  <si>
    <t>予　　備　　費</t>
  </si>
  <si>
    <t>諸　支　出　金</t>
  </si>
  <si>
    <t>保健事業費</t>
  </si>
  <si>
    <t>共同事業拠出金</t>
  </si>
  <si>
    <t>保険給付費</t>
  </si>
  <si>
    <t>総　　務　　費</t>
  </si>
  <si>
    <t>一部負担金</t>
  </si>
  <si>
    <t>国民健康保険料</t>
  </si>
  <si>
    <t>基金積立金</t>
  </si>
  <si>
    <t>支払基金交付金</t>
  </si>
  <si>
    <t>介護保険料</t>
  </si>
  <si>
    <t xml:space="preserve"> 　  </t>
    <phoneticPr fontId="3"/>
  </si>
  <si>
    <t>江戸川</t>
  </si>
  <si>
    <t>練　馬</t>
  </si>
  <si>
    <t>板　橋</t>
  </si>
  <si>
    <t>荒　川</t>
  </si>
  <si>
    <t>豊　島</t>
  </si>
  <si>
    <t>杉　並</t>
  </si>
  <si>
    <t>中　野</t>
  </si>
  <si>
    <t>渋　谷</t>
  </si>
  <si>
    <t>世田谷</t>
  </si>
  <si>
    <t>大　田</t>
  </si>
  <si>
    <t>目　黒</t>
  </si>
  <si>
    <t>品　川</t>
  </si>
  <si>
    <t>江　東</t>
  </si>
  <si>
    <t>墨　田</t>
  </si>
  <si>
    <t>台　東</t>
  </si>
  <si>
    <t>文　京</t>
  </si>
  <si>
    <t>新　宿</t>
  </si>
  <si>
    <t>中　央</t>
  </si>
  <si>
    <t>千代田</t>
  </si>
  <si>
    <t>足　立</t>
  </si>
  <si>
    <t>区分</t>
  </si>
  <si>
    <t xml:space="preserve">        </t>
  </si>
  <si>
    <t>増減率</t>
  </si>
  <si>
    <t>＜足立区＞</t>
  </si>
  <si>
    <t>地方債</t>
  </si>
  <si>
    <t>使用料</t>
  </si>
  <si>
    <t>都
支出金</t>
  </si>
  <si>
    <t>国 庫
支出金</t>
  </si>
  <si>
    <t>分担金
負担金</t>
  </si>
  <si>
    <t>一　般
財源計</t>
  </si>
  <si>
    <t>地　方
譲与税等</t>
  </si>
  <si>
    <t>合　計</t>
  </si>
  <si>
    <t>消防費</t>
  </si>
  <si>
    <t>商工費</t>
  </si>
  <si>
    <t>衛生費</t>
  </si>
  <si>
    <t>＜目的別歳出＞</t>
  </si>
  <si>
    <t>繰出金</t>
  </si>
  <si>
    <t>積立金</t>
  </si>
  <si>
    <t>物件費</t>
  </si>
  <si>
    <t>うち元金</t>
  </si>
  <si>
    <t>義務的
経費計</t>
  </si>
  <si>
    <t>扶助費</t>
  </si>
  <si>
    <t>人件費</t>
  </si>
  <si>
    <t>＜性質別歳出＞</t>
  </si>
  <si>
    <t>（単位：百万円）</t>
  </si>
  <si>
    <t>-</t>
  </si>
  <si>
    <t>保険料</t>
  </si>
  <si>
    <t>歳出合計</t>
  </si>
  <si>
    <t>歳入合計</t>
  </si>
  <si>
    <t>軽自動車税</t>
  </si>
  <si>
    <t>特別区民税</t>
  </si>
  <si>
    <t>還付未済額</t>
  </si>
  <si>
    <t>不納欠損額</t>
  </si>
  <si>
    <t xml:space="preserve"> 区分</t>
  </si>
  <si>
    <t>特　別　徴　収</t>
  </si>
  <si>
    <t>普　通　徴　収</t>
  </si>
  <si>
    <t>総　　　数</t>
  </si>
  <si>
    <t>総　　　額</t>
  </si>
  <si>
    <t xml:space="preserve"> 一人当り区民税所得割額
　　　　　　　　　(円)</t>
  </si>
  <si>
    <t>納税義務者数</t>
  </si>
  <si>
    <t>合    計</t>
  </si>
  <si>
    <t>(千円)</t>
  </si>
  <si>
    <t>総 所 得 金 額</t>
  </si>
  <si>
    <t>足    立</t>
  </si>
  <si>
    <t>　区分</t>
  </si>
  <si>
    <t>資料：会計管理室</t>
    <rPh sb="3" eb="5">
      <t>カイケイ</t>
    </rPh>
    <rPh sb="5" eb="7">
      <t>カンリ</t>
    </rPh>
    <phoneticPr fontId="3"/>
  </si>
  <si>
    <t>予　　    備　    　費</t>
  </si>
  <si>
    <t>特別会計繰出金</t>
  </si>
  <si>
    <t>諸　   支  　 出  　 金</t>
  </si>
  <si>
    <t>公　　債　　費</t>
  </si>
  <si>
    <t>公　　    債　　    費</t>
  </si>
  <si>
    <t>社 会 体 育 費</t>
  </si>
  <si>
    <t>社 会 教 育 費</t>
  </si>
  <si>
    <t>幼　稚　園　費</t>
  </si>
  <si>
    <t>校 外 施 設 費</t>
  </si>
  <si>
    <t>中　学　校　費</t>
  </si>
  <si>
    <t>小　学　校　費</t>
  </si>
  <si>
    <t>教 育 総 務 費</t>
  </si>
  <si>
    <t>教　　    育　    　費</t>
  </si>
  <si>
    <t>都 市 計 画 費</t>
  </si>
  <si>
    <t>河　　川　　費</t>
  </si>
  <si>
    <t>道 路 橋 梁 費</t>
  </si>
  <si>
    <t>土 木 管 理 費</t>
  </si>
  <si>
    <t>土　　    木　　    費</t>
  </si>
  <si>
    <t>清　　掃　　費</t>
  </si>
  <si>
    <t>衛　　生　　費</t>
  </si>
  <si>
    <t>環　　境　　費</t>
  </si>
  <si>
    <t>環   境   衛   生   費</t>
  </si>
  <si>
    <t>農　　業　　費</t>
  </si>
  <si>
    <t>産 業 経 済 費</t>
  </si>
  <si>
    <t>産   業   経   済   費</t>
  </si>
  <si>
    <t>国 民 年 金 費</t>
  </si>
  <si>
    <t>生 活 保 護 費</t>
  </si>
  <si>
    <t>児 童 福 祉 費</t>
  </si>
  <si>
    <t>社 会 福 祉 費</t>
  </si>
  <si>
    <t>民　　    生　    　費</t>
  </si>
  <si>
    <t>監査委員費</t>
  </si>
  <si>
    <t>統計調査費</t>
  </si>
  <si>
    <t>選挙費</t>
  </si>
  <si>
    <t>区　　民　　費</t>
  </si>
  <si>
    <t>徴　　税　　費</t>
  </si>
  <si>
    <t>総 務 管 理 費</t>
  </si>
  <si>
    <t>総　　    務    　　費</t>
  </si>
  <si>
    <t>議　　会　　費</t>
  </si>
  <si>
    <t>議　　    会    　　費</t>
  </si>
  <si>
    <t>(円)</t>
  </si>
  <si>
    <t>年度･科目</t>
  </si>
  <si>
    <t>予算現額に対する</t>
  </si>
  <si>
    <t>決　　算　　額</t>
  </si>
  <si>
    <t>予　算　現　額</t>
  </si>
  <si>
    <t>＜歳　出＞</t>
  </si>
  <si>
    <t>雑　　　　　入</t>
  </si>
  <si>
    <t>受託事業収入</t>
  </si>
  <si>
    <t>貸付金元利収入</t>
  </si>
  <si>
    <t>特別区預金利子</t>
  </si>
  <si>
    <t>延滞金、加算金及び過料</t>
  </si>
  <si>
    <t>繰　　越　　金</t>
  </si>
  <si>
    <t>繰　     　越　  　   金</t>
  </si>
  <si>
    <t>特別会計繰入金</t>
  </si>
  <si>
    <t>基 金 繰 入 金</t>
  </si>
  <si>
    <t>繰　     　入     　　金</t>
  </si>
  <si>
    <t>寄　　付　　金</t>
  </si>
  <si>
    <t>寄　　     付　     　金</t>
  </si>
  <si>
    <t>財産売払収入</t>
  </si>
  <si>
    <t>財産運用収入</t>
  </si>
  <si>
    <t>財　 産　 収 　入</t>
  </si>
  <si>
    <t>都　委　託　金</t>
  </si>
  <si>
    <t>都　補　助　金</t>
  </si>
  <si>
    <t>都　負　担　金</t>
  </si>
  <si>
    <t>都  支  出  金</t>
  </si>
  <si>
    <t>国 庫 委 託 金</t>
  </si>
  <si>
    <t>国 庫 補 助 金</t>
  </si>
  <si>
    <t>国 庫 負 担 金</t>
  </si>
  <si>
    <t>国  庫  支  出  金</t>
  </si>
  <si>
    <t>手　　数　　料</t>
  </si>
  <si>
    <t>使　　用　　料</t>
  </si>
  <si>
    <t>使 用 料 及 び 手 数 料</t>
  </si>
  <si>
    <t>負　　担　　金</t>
  </si>
  <si>
    <t>分 担 金 及 び 負 担 金</t>
  </si>
  <si>
    <t>特別区財政調整交付金</t>
  </si>
  <si>
    <t>特  別  区  交  付  金</t>
  </si>
  <si>
    <t>地  方  特  例  交  付  金</t>
  </si>
  <si>
    <t>自 動 車 取 得 税 交 付 金</t>
  </si>
  <si>
    <t>地 方 消 費 税 交 付 金</t>
  </si>
  <si>
    <t>配　当　割　交　付　金</t>
  </si>
  <si>
    <t>利  子　割　交　付　金</t>
  </si>
  <si>
    <t>地方道路譲与税</t>
  </si>
  <si>
    <t>地方揮発油譲与税</t>
  </si>
  <si>
    <t>地  方  譲  与  税</t>
  </si>
  <si>
    <t>特別区たばこ税</t>
  </si>
  <si>
    <t>軽 自 動 車 税</t>
  </si>
  <si>
    <t>特 別 区 民 税</t>
  </si>
  <si>
    <t>特　別　区　税</t>
  </si>
  <si>
    <t>　</t>
  </si>
  <si>
    <t>＜歳　入＞</t>
  </si>
  <si>
    <t>繰　　出　　金</t>
  </si>
  <si>
    <t>償還金及び還付金</t>
  </si>
  <si>
    <t>特定健康診査等事業費</t>
  </si>
  <si>
    <t>保 健 事 業 費</t>
  </si>
  <si>
    <t>結核・精神医療給付金</t>
  </si>
  <si>
    <t>葬　　祭　　費</t>
  </si>
  <si>
    <t>出産育児諸費</t>
  </si>
  <si>
    <t>移　　送　　費</t>
  </si>
  <si>
    <t>高 額 療 養 費</t>
  </si>
  <si>
    <t>療　養　諸　費</t>
  </si>
  <si>
    <t>保 険 給 付 費</t>
  </si>
  <si>
    <t>徴　　収　　費</t>
  </si>
  <si>
    <t>預　金　利　子</t>
  </si>
  <si>
    <t>諸　　収　　入</t>
  </si>
  <si>
    <t>他会計繰入金</t>
  </si>
  <si>
    <t>繰　　入　　金</t>
  </si>
  <si>
    <t>都　支　出　金</t>
  </si>
  <si>
    <t>国 庫 支 出 金</t>
  </si>
  <si>
    <t>一 部 負 担 金</t>
  </si>
  <si>
    <t>償還金及び還付加算金</t>
  </si>
  <si>
    <t>包括的支援事業・任意事業費</t>
  </si>
  <si>
    <t>一般介護予防事業費</t>
  </si>
  <si>
    <t>介護予防・生活支援サービス事業費</t>
  </si>
  <si>
    <t>地域支援事業費</t>
  </si>
  <si>
    <t>基 金 積 立 金</t>
  </si>
  <si>
    <t>特定入所者介護サービス費</t>
  </si>
  <si>
    <t>高額医療合算介護サービス費</t>
  </si>
  <si>
    <t>高額サービス費</t>
  </si>
  <si>
    <t>介護予防サービス諸費</t>
  </si>
  <si>
    <t>介護サービス諸費</t>
  </si>
  <si>
    <t>介 護 認 定 費</t>
  </si>
  <si>
    <t>一般会計繰入金</t>
  </si>
  <si>
    <t>財 産 収 入</t>
  </si>
  <si>
    <t>介 護 保 険 料</t>
  </si>
  <si>
    <t>予　備　費</t>
  </si>
  <si>
    <t>健康保持増進事業費</t>
  </si>
  <si>
    <t>保　　健　　事　　業　　費</t>
  </si>
  <si>
    <t>広域連合負担金</t>
  </si>
  <si>
    <t>葬   祭   費</t>
  </si>
  <si>
    <t>徴    収   費</t>
  </si>
  <si>
    <t>総　　　　務　　　　費</t>
  </si>
  <si>
    <t>雑入</t>
  </si>
  <si>
    <t>広域連合補助金</t>
  </si>
  <si>
    <t>広域連合支出金</t>
  </si>
  <si>
    <t>手数料</t>
  </si>
  <si>
    <t>後期高齢者医療保険料</t>
  </si>
  <si>
    <t>(注３)</t>
  </si>
  <si>
    <t>Ⅹ</t>
  </si>
  <si>
    <t>法人税</t>
  </si>
  <si>
    <t>・事業税個人・・・平成２１年度から　　　　　　　　　　　　　　　　　　　</t>
  </si>
  <si>
    <t>・都民税法人及び事業税法人・・・平成２０年度から　　　　　　　　　　　　</t>
  </si>
  <si>
    <t>となった。このため、荒川都税事務所からの徴収引受額を記載している。　　　</t>
  </si>
  <si>
    <t>(注１)２３区内の所管区域の変更に伴い足立区管内の次の税目は荒川都税事務所の所管</t>
  </si>
  <si>
    <t>(単位：千円)</t>
  </si>
  <si>
    <t>資料：足立都税事務所</t>
  </si>
  <si>
    <t>滞納繰越</t>
  </si>
  <si>
    <t>その他の都税</t>
  </si>
  <si>
    <t>都市計画税</t>
  </si>
  <si>
    <t>特別土地保有税</t>
  </si>
  <si>
    <t>固定資産税</t>
  </si>
  <si>
    <t>ゴルフ場利用税</t>
  </si>
  <si>
    <t>不動産取得税</t>
  </si>
  <si>
    <t>事業税　　個人</t>
  </si>
  <si>
    <t>事業税　　法人</t>
  </si>
  <si>
    <t>都民税　　個人</t>
  </si>
  <si>
    <t>都民税　　法人</t>
  </si>
  <si>
    <t>区　分</t>
  </si>
  <si>
    <t>年　度</t>
  </si>
  <si>
    <t>２３　都税調定額</t>
  </si>
  <si>
    <t>　２　財政・税務</t>
  </si>
  <si>
    <t>※財政数値の増減率等については原則として各表内数値により計算している。</t>
  </si>
  <si>
    <t>１　普通会計予算額(２３区別)</t>
  </si>
  <si>
    <t>(令和５年度及び令和６年度当初予算)</t>
  </si>
  <si>
    <t>令和５年度</t>
  </si>
  <si>
    <t>令和６年度</t>
  </si>
  <si>
    <t>区名　　　　</t>
  </si>
  <si>
    <t>(百万円)</t>
  </si>
  <si>
    <t>葛　飾</t>
  </si>
  <si>
    <t>特別区計</t>
  </si>
  <si>
    <r>
      <rPr>
        <b/>
        <sz val="8"/>
        <rFont val="ＭＳ 明朝"/>
        <family val="1"/>
        <charset val="128"/>
      </rPr>
      <t>資料：「特別区当初予算状況」(東京都</t>
    </r>
    <r>
      <rPr>
        <b/>
        <sz val="4"/>
        <rFont val="ＭＳ 明朝"/>
        <family val="1"/>
        <charset val="128"/>
      </rPr>
      <t xml:space="preserve"> </t>
    </r>
    <r>
      <rPr>
        <b/>
        <sz val="8"/>
        <rFont val="ＭＳ 明朝"/>
        <family val="1"/>
        <charset val="128"/>
      </rPr>
      <t>総務局)、「特別区の統計」((公財)特別区協議会)、政策経営部 財政課</t>
    </r>
  </si>
  <si>
    <t xml:space="preserve">    (注１)住民一人当り予算額及び特別区税負担額は令和５年１月１日現在の人口による。</t>
  </si>
  <si>
    <t xml:space="preserve">    (注２)同時補正を含む。　</t>
  </si>
  <si>
    <t>　　　　  　　　　　　　　　　　　　　　　　　　　　　　</t>
  </si>
  <si>
    <t>２　会計別最終予算額</t>
  </si>
  <si>
    <t>一　般　会　計</t>
  </si>
  <si>
    <t>国民健康保険特別会計</t>
  </si>
  <si>
    <t>後期高齢者医療特別会計</t>
  </si>
  <si>
    <t>令和4年</t>
  </si>
  <si>
    <t>資料：政策経営部 財政課</t>
  </si>
  <si>
    <t>(単位：千円）</t>
  </si>
  <si>
    <t>(注１)指数は令和４年度が１００である。       　　</t>
  </si>
  <si>
    <t>(注２)令和６年度は当初予算額(同時補正含む)である。</t>
  </si>
  <si>
    <t>３　一般会計予算額</t>
  </si>
  <si>
    <t>(令和５年度)</t>
  </si>
  <si>
    <t>環境性能割交付金</t>
  </si>
  <si>
    <t>（注）当初予算額には同時補正予算額を含む。</t>
  </si>
  <si>
    <t>４　国民健康保険特別会計予算額</t>
  </si>
  <si>
    <t>国民健康保険事業費納付金</t>
  </si>
  <si>
    <t>５　介護保険特別会計予算額</t>
  </si>
  <si>
    <t>６　後期高齢者医療特別会計予算額</t>
  </si>
  <si>
    <t>７　財政指標等(普通会計決算)</t>
  </si>
  <si>
    <t>＜２３区＞</t>
  </si>
  <si>
    <t>(令和４年度)</t>
  </si>
  <si>
    <t>歳 入
総 額</t>
  </si>
  <si>
    <t>歳 出
総 額</t>
  </si>
  <si>
    <t>形 式
収 支</t>
  </si>
  <si>
    <t>翌年度へ繰越すべき
財源</t>
  </si>
  <si>
    <t>実 質
収 支</t>
  </si>
  <si>
    <t>実質
収支
比率</t>
  </si>
  <si>
    <t>公債
費
負担比率</t>
  </si>
  <si>
    <t>経常
収支
比率</t>
  </si>
  <si>
    <t>地方債
現在高</t>
  </si>
  <si>
    <t>積立金
現在高</t>
  </si>
  <si>
    <t>財政調整
基　　金</t>
  </si>
  <si>
    <t>減　債
基　金</t>
  </si>
  <si>
    <t>その他
基　金</t>
  </si>
  <si>
    <t>区名</t>
  </si>
  <si>
    <t>A</t>
  </si>
  <si>
    <t>B</t>
  </si>
  <si>
    <t>C=A-B</t>
  </si>
  <si>
    <t>D</t>
  </si>
  <si>
    <t>E=C-D</t>
  </si>
  <si>
    <t>(%)</t>
  </si>
  <si>
    <t>特別区
計</t>
  </si>
  <si>
    <r>
      <rPr>
        <b/>
        <sz val="8"/>
        <rFont val="ＭＳ 明朝"/>
        <family val="1"/>
        <charset val="128"/>
      </rPr>
      <t>資料：「特別区決算状況」(東京都</t>
    </r>
    <r>
      <rPr>
        <b/>
        <sz val="4"/>
        <rFont val="ＭＳ 明朝"/>
        <family val="1"/>
        <charset val="128"/>
      </rPr>
      <t xml:space="preserve"> </t>
    </r>
    <r>
      <rPr>
        <b/>
        <sz val="8"/>
        <rFont val="ＭＳ 明朝"/>
        <family val="1"/>
        <charset val="128"/>
      </rPr>
      <t>総務局)、「特別区の統計」((公財)特別区協議会)、 政策経営部 財政課</t>
    </r>
  </si>
  <si>
    <t>(単位：百万円)</t>
  </si>
  <si>
    <t>翌年度へ
繰越す
べき財源</t>
  </si>
  <si>
    <t>財政調整基金</t>
  </si>
  <si>
    <t>令和3年</t>
  </si>
  <si>
    <r>
      <rPr>
        <b/>
        <sz val="8"/>
        <color rgb="FF000000"/>
        <rFont val="ＭＳ 明朝"/>
        <family val="1"/>
        <charset val="128"/>
      </rPr>
      <t>資料：「特別区決算状況」(東京都</t>
    </r>
    <r>
      <rPr>
        <b/>
        <sz val="4"/>
        <color rgb="FF000000"/>
        <rFont val="ＭＳ 明朝"/>
        <family val="1"/>
        <charset val="128"/>
      </rPr>
      <t xml:space="preserve"> </t>
    </r>
    <r>
      <rPr>
        <b/>
        <sz val="8"/>
        <color rgb="FF000000"/>
        <rFont val="ＭＳ 明朝"/>
        <family val="1"/>
        <charset val="128"/>
      </rPr>
      <t>総務局)、政策経営部 財政課</t>
    </r>
  </si>
  <si>
    <t xml:space="preserve">      </t>
  </si>
  <si>
    <t>　(注)令和５年度は速報値である｡</t>
  </si>
  <si>
    <t>８　普通会計決算額</t>
  </si>
  <si>
    <t>特別
区税</t>
  </si>
  <si>
    <t>財 政
調 整
交付金</t>
  </si>
  <si>
    <t>手数
料</t>
  </si>
  <si>
    <t>財産
収入</t>
  </si>
  <si>
    <t>諸収入及び寄付金</t>
  </si>
  <si>
    <t>議会
費</t>
  </si>
  <si>
    <t>労働費</t>
  </si>
  <si>
    <t>農林
水産業費</t>
  </si>
  <si>
    <t>　　（注１）災害復旧費と諸支出金は該当なしのため記載を省略した。</t>
  </si>
  <si>
    <t>　　（注２）令和５年度は速報値である。</t>
  </si>
  <si>
    <t>維　持
補修費</t>
  </si>
  <si>
    <t>補助費
等</t>
  </si>
  <si>
    <t>貸付
金</t>
  </si>
  <si>
    <t>普 通
建 設
事業費</t>
  </si>
  <si>
    <t>償還額</t>
  </si>
  <si>
    <t>　　　</t>
  </si>
  <si>
    <t>　　 (注１)投資・出資金と災害復旧・失業対策事業費は該当なしのため記載を省略した。</t>
  </si>
  <si>
    <t>　　 (注２)令和５年度は速報値である｡</t>
  </si>
  <si>
    <t>９　国民健康保険事業会計決算額</t>
  </si>
  <si>
    <t>保険料
収　入</t>
  </si>
  <si>
    <t>他会計
繰入金</t>
  </si>
  <si>
    <t>その他の収入</t>
  </si>
  <si>
    <t>歳 入
合 計</t>
  </si>
  <si>
    <t>(参考)
歳 出
合 計</t>
  </si>
  <si>
    <t>歳  入
歳  出
差引額</t>
  </si>
  <si>
    <t>うち退職
被保険者分</t>
  </si>
  <si>
    <t>総務
費</t>
  </si>
  <si>
    <t>保　険
給付費</t>
  </si>
  <si>
    <t>保健
事業費</t>
  </si>
  <si>
    <t>繰出
金</t>
  </si>
  <si>
    <t>その他
の支出</t>
  </si>
  <si>
    <t>歳出
合計</t>
  </si>
  <si>
    <t>療養諸費等</t>
  </si>
  <si>
    <t>その他</t>
  </si>
  <si>
    <t>審査支払手数料</t>
  </si>
  <si>
    <t>給付費</t>
  </si>
  <si>
    <t>１０　介護保険事業会計決算額</t>
  </si>
  <si>
    <t>国　庫
支出金</t>
  </si>
  <si>
    <t>支　払
基　金
交付金</t>
  </si>
  <si>
    <t>相互財政安定化事業交付金</t>
  </si>
  <si>
    <t>基　金
繰入金</t>
  </si>
  <si>
    <t>歳入
合計</t>
  </si>
  <si>
    <t>(参考)
歳出
合計</t>
  </si>
  <si>
    <t>歳入
歳出
差引額</t>
  </si>
  <si>
    <t>財政安定化基金
拠出金</t>
  </si>
  <si>
    <t>相互財政安定化事業負担金</t>
  </si>
  <si>
    <t>保　健
福　祉
事業費</t>
  </si>
  <si>
    <t>基　金
積立金</t>
  </si>
  <si>
    <t>前年度
繰　上
充用金</t>
  </si>
  <si>
    <t>１１　後期高齢者医療事業会計決算額</t>
  </si>
  <si>
    <t>その他の
収　　入</t>
  </si>
  <si>
    <t>(参　考)
歳出合計</t>
  </si>
  <si>
    <t>歳入歳出
差 引 額</t>
  </si>
  <si>
    <t>うち特別徴収保険料</t>
  </si>
  <si>
    <t>一般会計</t>
  </si>
  <si>
    <t>後期高齢者
医療広域
連合納付金</t>
  </si>
  <si>
    <t>前　年　度</t>
  </si>
  <si>
    <t>その他の
支　　出</t>
  </si>
  <si>
    <t>総　務　費</t>
  </si>
  <si>
    <t>繰　出　金</t>
  </si>
  <si>
    <t>繰　　　上</t>
  </si>
  <si>
    <t>充　用　金</t>
  </si>
  <si>
    <t>１２　一般会計決算額</t>
  </si>
  <si>
    <t>決算額の比率 (%)</t>
  </si>
  <si>
    <t>自動車重量譲与税</t>
  </si>
  <si>
    <t>森林環境譲与税</t>
  </si>
  <si>
    <t>諸　     　収     　　入</t>
  </si>
  <si>
    <t>災害援護債</t>
  </si>
  <si>
    <t>戸籍及び住民基本台帳費</t>
  </si>
  <si>
    <t>１３　国民健康保険特別会計決算額</t>
  </si>
  <si>
    <t>傷病手当金</t>
  </si>
  <si>
    <t>医療給付費</t>
  </si>
  <si>
    <t>後期高齢者支援金等</t>
  </si>
  <si>
    <t>介護納付金</t>
  </si>
  <si>
    <t>資料：会計管理室</t>
  </si>
  <si>
    <t>１４　介護保険特別会計決算額</t>
  </si>
  <si>
    <t>基金繰入金</t>
  </si>
  <si>
    <t>１５　後期高齢者医療特別会計決算額</t>
  </si>
  <si>
    <t>延滞金及び過料</t>
  </si>
  <si>
    <t>保　　険　　給　　付　　費</t>
  </si>
  <si>
    <t>１６　特別区税調定額及び収入状況</t>
  </si>
  <si>
    <t>調定額</t>
  </si>
  <si>
    <t>収入済額</t>
  </si>
  <si>
    <t>未収入額</t>
  </si>
  <si>
    <t>収入率
(％)</t>
  </si>
  <si>
    <t>資料：区民部 課税課</t>
  </si>
  <si>
    <t>(単位：円)</t>
  </si>
  <si>
    <t>(注)滞納繰越分を含む。</t>
  </si>
  <si>
    <t>１７　特別区民税納税義務者数及び現年度分調定額</t>
  </si>
  <si>
    <t>調定額 (千円)</t>
  </si>
  <si>
    <t>(注)数値は各年度の決算数値(翌年５月３１日現在)である。</t>
  </si>
  <si>
    <t>１８　特別区民税(現年度分)課税標準額段階別納税義務者数及び所得割額</t>
  </si>
  <si>
    <t>（令和５年７月１日現在）</t>
  </si>
  <si>
    <t>課税標準額</t>
  </si>
  <si>
    <t>所得割額 (千円)</t>
  </si>
  <si>
    <t xml:space="preserve">                   １０万円以下</t>
  </si>
  <si>
    <t xml:space="preserve">  １０万円超 ～　１００万円以下</t>
  </si>
  <si>
    <t>１００万円超 ～　２００万円以下</t>
  </si>
  <si>
    <t>２００万円超 ～　３００万円以下</t>
  </si>
  <si>
    <t>３００万円超 ～　４００万円以下</t>
  </si>
  <si>
    <t>４００万円超 ～　５５０万円以下</t>
  </si>
  <si>
    <t>５５０万円超 ～　７００万円以下</t>
  </si>
  <si>
    <t>７００万円超 ～１０００万円以下</t>
  </si>
  <si>
    <t>１０００万円超　　　　</t>
  </si>
  <si>
    <t>(注１)所得割額は譲渡所得分を含まない金額である。</t>
  </si>
  <si>
    <t>(注２)納税義務者数は所得割を納める者(均等割のみの者は含まない)の数である。</t>
  </si>
  <si>
    <t>１９　特別区民税・都民税申告者段階別所得金額(総合課税分)</t>
  </si>
  <si>
    <t>所　得　者　数</t>
  </si>
  <si>
    <t>一人当りの                　　　　　</t>
  </si>
  <si>
    <t>総所得金額</t>
  </si>
  <si>
    <t>　  　　　　　　　　 1 0 0 万 円 以 下</t>
  </si>
  <si>
    <t>1 0 0 万 円 超　～   2 0 0 万 円 以 下</t>
  </si>
  <si>
    <t>2 0 0 万 円 超　～   3 0 0 万 円 以 下</t>
  </si>
  <si>
    <t>3 0 0 万 円 超　～   4 0 0 万 円 以 下</t>
  </si>
  <si>
    <t>4 0 0 万 円 超　～   5 0 0 万 円 以 下</t>
  </si>
  <si>
    <t>5 0 0 万 円 超　～   6 0 0 万 円 以 下</t>
  </si>
  <si>
    <t>6 0 0 万 円 超　～   7 0 0 万 円 以 下</t>
  </si>
  <si>
    <t>7 0 0 万 円 超　～   8 0 0 万 円 以 下</t>
  </si>
  <si>
    <t>8 0 0 万 円 超　～   9 0 0 万 円 以 下</t>
  </si>
  <si>
    <t>9 0 0 万 円 超　～ 1 0 0 0 万 円 以 下</t>
  </si>
  <si>
    <t xml:space="preserve">  1 0 0 0 万 円 超　～ 1 1 0 0 万 円 以 下</t>
  </si>
  <si>
    <t xml:space="preserve">  1 1 0 0 万 円 超　～ 1 2 0 0 万 円 以 下</t>
  </si>
  <si>
    <t xml:space="preserve">  1 2 0 0 万 円 超　～ 1 3 0 0 万 円 以 下</t>
  </si>
  <si>
    <t xml:space="preserve">  1 3 0 0 万 円 超　～ 1 4 0 0 万 円 以 下</t>
  </si>
  <si>
    <t xml:space="preserve">  1 4 0 0 万 円 超　～ 1 5 0 0 万 円 以 下</t>
  </si>
  <si>
    <t xml:space="preserve">  1 5 0 0 万 円 超　～ 1 6 0 0 万 円 以 下</t>
  </si>
  <si>
    <t xml:space="preserve">  1 6 0 0 万 円 超　～ 1 7 0 0 万 円 以 下</t>
  </si>
  <si>
    <t xml:space="preserve">  1 7 0 0 万 円 超　～ 1 8 0 0 万 円 以 下</t>
  </si>
  <si>
    <t xml:space="preserve">  1 8 0 0 万 円 超　～ 1 9 0 0 万 円 以 下</t>
  </si>
  <si>
    <t xml:space="preserve">  1 9 0 0 万 円 超　～ 2 0 0 0 万 円 以 下</t>
  </si>
  <si>
    <t xml:space="preserve">  2 0 0 0 万 円 超　～ 2 1 0 0 万 円 以 下</t>
  </si>
  <si>
    <t xml:space="preserve">  2 1 0 0 万 円 超　～ 2 2 0 0 万 円 以 下</t>
  </si>
  <si>
    <t xml:space="preserve">  2 2 0 0 万 円 超　～ 2 3 0 0 万 円 以 下</t>
  </si>
  <si>
    <t xml:space="preserve">  2 3 0 0 万 円 超　～ 2 4 0 0 万 円 以 下</t>
  </si>
  <si>
    <t xml:space="preserve">  2 4 0 0 万 円 超　～ 2 5 0 0 万 円 以 下</t>
  </si>
  <si>
    <t xml:space="preserve">  2 5 0 0 万 円 超　～ 2 6 0 0 万 円 以 下</t>
  </si>
  <si>
    <t xml:space="preserve">  2 6 0 0 万 円 超　～ 2 7 0 0 万 円 以 下</t>
  </si>
  <si>
    <t xml:space="preserve">  2 7 0 0 万 円 超　～ 2 8 0 0 万 円 以 下</t>
  </si>
  <si>
    <t xml:space="preserve">  2 8 0 0 万 円 超　～ 2 9 0 0 万 円 以 下</t>
  </si>
  <si>
    <t xml:space="preserve">  2 9 0 0 万 円 超　～ 3 0 0 0 万 円 以 下</t>
  </si>
  <si>
    <t xml:space="preserve">     3 0 0 0 万 円 超   </t>
  </si>
  <si>
    <t>　　　　　　　(注１)所得金額が１，０００円以上の人を集計する。マイナス所得は集計しない。</t>
  </si>
  <si>
    <t>　　　　　　　(注２)所得金額は分離課税所得(長期・短期・株式・先物取引・分離配当)を除く。</t>
  </si>
  <si>
    <t>２０　特別区民税･都民税(現年度分)負担状況</t>
  </si>
  <si>
    <t>特別区民税・都民税負担額 (千円)</t>
  </si>
  <si>
    <t>一人当り負担額 (円)</t>
  </si>
  <si>
    <t>世帯当り負担額 (円)</t>
  </si>
  <si>
    <t>２３区平均</t>
  </si>
  <si>
    <t>(注)世帯及び人口は、賦課期日(各年１月１日)現在の数値である。負担額は、当該年度賦課決</t>
  </si>
  <si>
    <t xml:space="preserve"> 　 定分に係る５月３１日現在の現年度調定額(現年度分及び翌年度分)である。 </t>
  </si>
  <si>
    <t>２１　特別区民税（普通徴収分）の口座振替利用状況</t>
  </si>
  <si>
    <t>利用者数</t>
  </si>
  <si>
    <t>当初課税対象者数に
対する利用率(％)</t>
  </si>
  <si>
    <t>収入税額(千円)</t>
  </si>
  <si>
    <t>収入率(％)</t>
  </si>
  <si>
    <t>資料：区民部 納税課</t>
  </si>
  <si>
    <t>　　　　　　(注１)各年度末（翌年５月３１日）現在の数値である。</t>
  </si>
  <si>
    <t>　　　　　　(注２)収入率は特別区民税（普通徴収分）の収入額に対する口座振替による収入額の割合。</t>
  </si>
  <si>
    <t>２２　特別区民税・都民税、軽自動車税滞納処分及び処理等の状況</t>
  </si>
  <si>
    <t xml:space="preserve">差 　押 　え  </t>
  </si>
  <si>
    <t>差押後収納額</t>
  </si>
  <si>
    <t>納付額</t>
  </si>
  <si>
    <t>内訳</t>
  </si>
  <si>
    <t xml:space="preserve">年度 </t>
  </si>
  <si>
    <t>滞納税額</t>
  </si>
  <si>
    <t>件　数</t>
  </si>
  <si>
    <t>債権</t>
  </si>
  <si>
    <t>不動産等</t>
  </si>
  <si>
    <t xml:space="preserve">  　　　</t>
  </si>
  <si>
    <t xml:space="preserve"> (注)差押え、参加差押え、二重差押えを含む。</t>
  </si>
  <si>
    <t>自動車税</t>
  </si>
  <si>
    <t>(注２)その他の都税は事業所税である。　　　　　　　　　　　　　　　　　　　　　</t>
  </si>
  <si>
    <t>(注３)各項目の数値の合計は端数処理の関係上、総額と一致しない。 　　 　　　　　</t>
  </si>
  <si>
    <t>２４　国税徴収決定済額(足立区内税務署分)</t>
  </si>
  <si>
    <t xml:space="preserve">年　度 </t>
  </si>
  <si>
    <t>令和2年</t>
  </si>
  <si>
    <t xml:space="preserve"> 区　分</t>
  </si>
  <si>
    <t>源泉所得税</t>
  </si>
  <si>
    <t>源泉所得税及復興特別所得税</t>
  </si>
  <si>
    <t>申告所得税</t>
  </si>
  <si>
    <t>申告所得税及復興特別所得税</t>
  </si>
  <si>
    <t>地方法人税</t>
  </si>
  <si>
    <t>相続税　</t>
  </si>
  <si>
    <t>消費税</t>
  </si>
  <si>
    <t>消費税及地方消費税</t>
  </si>
  <si>
    <t>酒税</t>
  </si>
  <si>
    <t>たばこ税及たばこ特別税</t>
  </si>
  <si>
    <t>揮発油税及地方揮発油税</t>
  </si>
  <si>
    <t>資料：東京国税局</t>
  </si>
  <si>
    <t>(注１)</t>
  </si>
  <si>
    <t>相続税には贈与税を含む。</t>
  </si>
  <si>
    <t>(注２)</t>
  </si>
  <si>
    <t>その他は復興特別法人税、地価税、たばこ税、国際観光旅客税、石油石炭税、</t>
  </si>
  <si>
    <t>旧税、電源開発促進税、揮発油税及地方道路税、石油ガス税、自動車重量税、</t>
  </si>
  <si>
    <t>航空機燃料税、印紙税の合計である。</t>
  </si>
  <si>
    <t>令和４年度の数値は速報値。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</si>
</sst>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0_);[Red]\(#,##0\)"/>
    <numFmt numFmtId="177" formatCode="#,##0.0_);[Red]\(#,##0.0\)"/>
    <numFmt numFmtId="178" formatCode="_ * #,##0_ ;_ * \△#,##0_ ;_ * &quot;-&quot;_ ;_ @_ "/>
    <numFmt numFmtId="179" formatCode="0.0%;&quot;△&quot;0.0%"/>
    <numFmt numFmtId="180" formatCode="0.0"/>
    <numFmt numFmtId="181" formatCode="0_);[Red]\(0\)"/>
    <numFmt numFmtId="182" formatCode="#,##0;[Red]#,##0"/>
    <numFmt numFmtId="183" formatCode="#,##0_);\(#,##0\)"/>
    <numFmt numFmtId="184" formatCode="#,##0_ "/>
    <numFmt numFmtId="185" formatCode="0.0_);[Red]\(0.0\)"/>
    <numFmt numFmtId="186" formatCode="0.00_);[Red]\(0.00\)"/>
    <numFmt numFmtId="187" formatCode="_ * #,##0_ ;_ * \-#,##0_ ;_ * \-_ ;_ @_ "/>
    <numFmt numFmtId="188" formatCode="0.0%"/>
    <numFmt numFmtId="189" formatCode="_ * #,##0_ ;_ * \-#,##0_ ;_ * \-??_ ;_ @_ "/>
    <numFmt numFmtId="190" formatCode="_ * #,##0.0_ ;_ * \-#,##0.0_ ;_ * \-?_ ;_ @_ "/>
    <numFmt numFmtId="191" formatCode="0.0;[Black]\△0.0;0.0"/>
    <numFmt numFmtId="192" formatCode="0.0;[Red]\△0.0;0.0"/>
    <numFmt numFmtId="193" formatCode="[$-411]#,##0;[Red]\-#,##0"/>
    <numFmt numFmtId="194" formatCode="_ * #,##0_ ;_ * \△#,##0_ ;_ * \-_ ;_ @_ "/>
    <numFmt numFmtId="195" formatCode="[$-411]h:mm"/>
    <numFmt numFmtId="196" formatCode="0.0%;\△0.0%"/>
    <numFmt numFmtId="197" formatCode="_ * #,##0.00_ ;_ * \-#,##0.00_ ;_ * \-??_ ;_ @_ "/>
    <numFmt numFmtId="198" formatCode="#,##0.00_);[Red]\(#,##0.00\)"/>
    <numFmt numFmtId="199" formatCode="[$-411]#,##0.00;[Red]\-#,##0.00"/>
    <numFmt numFmtId="200" formatCode="General&quot;      &quot;"/>
    <numFmt numFmtId="201" formatCode="_ \¥* #,##0_ ;_ \¥* \-#,##0_ ;_ \¥* \-_ ;_ @_ "/>
  </numFmts>
  <fonts count="40">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9"/>
      <name val="ＭＳ 明朝"/>
      <family val="1"/>
      <charset val="128"/>
    </font>
    <font>
      <b/>
      <sz val="6"/>
      <name val="ＭＳ 明朝"/>
      <family val="1"/>
      <charset val="128"/>
    </font>
    <font>
      <b/>
      <sz val="8"/>
      <name val="ＭＳ 明朝"/>
      <family val="1"/>
      <charset val="128"/>
    </font>
    <font>
      <b/>
      <sz val="4"/>
      <name val="ＭＳ 明朝"/>
      <family val="1"/>
      <charset val="128"/>
    </font>
    <font>
      <sz val="11"/>
      <name val="ＭＳ Ｐゴシック"/>
      <family val="3"/>
      <charset val="128"/>
    </font>
    <font>
      <b/>
      <sz val="9"/>
      <name val="標準明朝"/>
      <family val="1"/>
      <charset val="128"/>
    </font>
    <font>
      <b/>
      <sz val="9"/>
      <name val="ＭＳ ゴシック"/>
      <family val="3"/>
      <charset val="128"/>
    </font>
    <font>
      <b/>
      <sz val="11"/>
      <name val="ＭＳ Ｐゴシック"/>
      <family val="3"/>
      <charset val="128"/>
    </font>
    <font>
      <b/>
      <sz val="11"/>
      <name val="ＭＳ ゴシック"/>
      <family val="3"/>
      <charset val="128"/>
    </font>
    <font>
      <sz val="24"/>
      <name val="ＭＳ ゴシック"/>
      <family val="3"/>
      <charset val="128"/>
    </font>
    <font>
      <b/>
      <sz val="10"/>
      <name val="ＭＳ ゴシック"/>
      <family val="3"/>
      <charset val="128"/>
    </font>
    <font>
      <b/>
      <sz val="10"/>
      <name val="ＭＳ 明朝"/>
      <family val="1"/>
      <charset val="128"/>
    </font>
    <font>
      <b/>
      <strike/>
      <sz val="11"/>
      <name val="ＭＳ 明朝"/>
      <family val="1"/>
      <charset val="128"/>
    </font>
    <font>
      <b/>
      <sz val="10"/>
      <name val="ＭＳ Ｐゴシック"/>
      <family val="3"/>
      <charset val="128"/>
    </font>
    <font>
      <sz val="11"/>
      <color theme="1"/>
      <name val="游ゴシック"/>
      <family val="3"/>
      <charset val="128"/>
      <scheme val="minor"/>
    </font>
    <font>
      <b/>
      <sz val="8"/>
      <name val="標準明朝"/>
      <family val="1"/>
      <charset val="128"/>
    </font>
    <font>
      <b/>
      <sz val="9.5"/>
      <name val="ＭＳ 明朝"/>
      <family val="1"/>
      <charset val="128"/>
    </font>
    <font>
      <b/>
      <sz val="9.25"/>
      <name val="ＭＳ 明朝"/>
      <family val="1"/>
      <charset val="128"/>
    </font>
    <font>
      <b/>
      <sz val="9"/>
      <color rgb="FFFF0000"/>
      <name val="ＭＳ 明朝"/>
      <family val="1"/>
      <charset val="128"/>
    </font>
    <font>
      <u/>
      <sz val="11"/>
      <color indexed="30"/>
      <name val="ＭＳ 明朝"/>
      <family val="1"/>
      <charset val="128"/>
    </font>
    <font>
      <b/>
      <sz val="10"/>
      <color rgb="FF000000"/>
      <name val="ＭＳ ゴシック"/>
      <family val="3"/>
      <charset val="128"/>
    </font>
    <font>
      <b/>
      <sz val="11"/>
      <color rgb="FF000000"/>
      <name val="ＭＳ 明朝"/>
      <family val="1"/>
      <charset val="128"/>
    </font>
    <font>
      <b/>
      <sz val="8"/>
      <color rgb="FF000000"/>
      <name val="ＭＳ 明朝"/>
      <family val="1"/>
      <charset val="128"/>
    </font>
    <font>
      <b/>
      <sz val="9"/>
      <color rgb="FF000000"/>
      <name val="ＭＳ 明朝"/>
      <family val="1"/>
      <charset val="128"/>
    </font>
    <font>
      <b/>
      <sz val="8.5"/>
      <color rgb="FF000000"/>
      <name val="ＭＳ 明朝"/>
      <family val="1"/>
      <charset val="128"/>
    </font>
    <font>
      <b/>
      <sz val="9"/>
      <color rgb="FF000000"/>
      <name val="ＭＳ ゴシック"/>
      <family val="3"/>
      <charset val="128"/>
    </font>
    <font>
      <sz val="11"/>
      <color rgb="FF000000"/>
      <name val="ＭＳ 明朝"/>
      <family val="1"/>
      <charset val="128"/>
    </font>
    <font>
      <b/>
      <sz val="4"/>
      <color rgb="FF000000"/>
      <name val="ＭＳ 明朝"/>
      <family val="1"/>
      <charset val="128"/>
    </font>
    <font>
      <b/>
      <sz val="11.5"/>
      <color rgb="FF000000"/>
      <name val="ＭＳ ゴシック"/>
      <family val="3"/>
      <charset val="128"/>
    </font>
    <font>
      <b/>
      <sz val="10"/>
      <color rgb="FF000000"/>
      <name val="ＭＳ 明朝"/>
      <family val="1"/>
      <charset val="128"/>
    </font>
    <font>
      <b/>
      <sz val="9.25"/>
      <color rgb="FF000000"/>
      <name val="ＭＳ 明朝"/>
      <family val="1"/>
      <charset val="128"/>
    </font>
    <font>
      <b/>
      <sz val="9.5"/>
      <color rgb="FF000000"/>
      <name val="ＭＳ 明朝"/>
      <family val="1"/>
      <charset val="128"/>
    </font>
    <font>
      <b/>
      <sz val="9.5"/>
      <color rgb="FF000000"/>
      <name val="ＭＳ ゴシック"/>
      <family val="3"/>
      <charset val="128"/>
    </font>
    <font>
      <b/>
      <sz val="11"/>
      <color rgb="FF000000"/>
      <name val="ＭＳ ゴシック"/>
      <family val="3"/>
      <charset val="128"/>
    </font>
    <font>
      <b/>
      <sz val="9.1"/>
      <color rgb="FF000000"/>
      <name val="ＭＳ 明朝"/>
      <family val="1"/>
      <charset val="128"/>
    </font>
    <font>
      <b/>
      <sz val="9.1"/>
      <color rgb="FF000000"/>
      <name val="ＭＳ ゴシック"/>
      <family val="3"/>
      <charset val="128"/>
    </font>
  </fonts>
  <fills count="2">
    <fill>
      <patternFill patternType="none"/>
    </fill>
    <fill>
      <patternFill patternType="gray125"/>
    </fill>
  </fills>
  <borders count="60">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style="thin">
        <color auto="1"/>
      </right>
      <top style="double">
        <color auto="1"/>
      </top>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indexed="64"/>
      </right>
      <top style="double">
        <color indexed="64"/>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style="double">
        <color indexed="64"/>
      </top>
      <bottom/>
      <diagonal/>
    </border>
    <border>
      <left/>
      <right/>
      <top style="thin">
        <color indexed="64"/>
      </top>
      <bottom/>
      <diagonal/>
    </border>
    <border>
      <left style="double">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style="double">
        <color auto="1"/>
      </right>
      <top/>
      <bottom style="thin">
        <color auto="1"/>
      </bottom>
      <diagonal/>
    </border>
    <border>
      <left style="double">
        <color auto="1"/>
      </left>
      <right style="thin">
        <color auto="1"/>
      </right>
      <top style="double">
        <color auto="1"/>
      </top>
      <bottom/>
      <diagonal/>
    </border>
    <border>
      <left style="double">
        <color auto="1"/>
      </left>
      <right style="thin">
        <color auto="1"/>
      </right>
      <top/>
      <bottom style="thin">
        <color auto="1"/>
      </bottom>
      <diagonal/>
    </border>
    <border>
      <left/>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style="double">
        <color auto="1"/>
      </right>
      <top style="double">
        <color auto="1"/>
      </top>
      <bottom/>
      <diagonal/>
    </border>
    <border>
      <left style="double">
        <color auto="1"/>
      </left>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bottom style="thin">
        <color auto="1"/>
      </bottom>
      <diagonal/>
    </border>
  </borders>
  <cellStyleXfs count="8">
    <xf numFmtId="0" fontId="0"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 fillId="0" borderId="0">
      <alignment vertical="center"/>
    </xf>
    <xf numFmtId="9" fontId="8" fillId="0" borderId="0" applyFont="0" applyFill="0" applyBorder="0" applyAlignment="0" applyProtection="0"/>
    <xf numFmtId="0" fontId="23" fillId="0" borderId="0" applyNumberFormat="0" applyFill="0" applyBorder="0" applyAlignment="0" applyProtection="0"/>
    <xf numFmtId="38" fontId="1" fillId="0" borderId="0" applyFill="0" applyBorder="0" applyAlignment="0" applyProtection="0"/>
    <xf numFmtId="9" fontId="1" fillId="0" borderId="0" applyFont="0" applyFill="0" applyBorder="0" applyAlignment="0" applyProtection="0">
      <alignment vertical="center"/>
    </xf>
  </cellStyleXfs>
  <cellXfs count="746">
    <xf numFmtId="0" fontId="0" fillId="0" borderId="0" xfId="0"/>
    <xf numFmtId="0" fontId="2" fillId="0" borderId="0" xfId="0" applyFont="1"/>
    <xf numFmtId="0" fontId="2" fillId="0" borderId="0" xfId="0" applyFont="1" applyAlignment="1">
      <alignment shrinkToFit="1"/>
    </xf>
    <xf numFmtId="0" fontId="4" fillId="0" borderId="0" xfId="0" applyFont="1"/>
    <xf numFmtId="0" fontId="4" fillId="0" borderId="0" xfId="0" applyFont="1" applyAlignment="1">
      <alignment shrinkToFit="1"/>
    </xf>
    <xf numFmtId="0" fontId="4" fillId="0" borderId="0" xfId="0" applyFont="1" applyAlignment="1">
      <alignment vertical="top"/>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xf numFmtId="0" fontId="6" fillId="0" borderId="0" xfId="0" applyFont="1" applyAlignment="1">
      <alignment horizontal="right"/>
    </xf>
    <xf numFmtId="0" fontId="6" fillId="0" borderId="0" xfId="0" applyFont="1" applyAlignment="1">
      <alignment shrinkToFit="1"/>
    </xf>
    <xf numFmtId="0" fontId="6" fillId="0" borderId="0" xfId="0" applyFont="1" applyAlignment="1">
      <alignment horizontal="left"/>
    </xf>
    <xf numFmtId="0" fontId="4" fillId="0" borderId="5" xfId="0" applyFont="1" applyBorder="1" applyAlignment="1">
      <alignment horizontal="distributed" vertical="center" shrinkToFit="1"/>
    </xf>
    <xf numFmtId="0" fontId="2" fillId="0" borderId="0" xfId="0" applyFont="1" applyAlignment="1">
      <alignment vertical="center"/>
    </xf>
    <xf numFmtId="0" fontId="6" fillId="0" borderId="0" xfId="0" applyFont="1" applyAlignment="1">
      <alignment horizontal="right" vertical="center"/>
    </xf>
    <xf numFmtId="0" fontId="2" fillId="0" borderId="0" xfId="0" applyFont="1" applyAlignment="1">
      <alignment vertical="center" shrinkToFit="1"/>
    </xf>
    <xf numFmtId="0" fontId="11" fillId="0" borderId="0" xfId="0" applyFont="1" applyAlignment="1">
      <alignment vertical="center"/>
    </xf>
    <xf numFmtId="0" fontId="2" fillId="0" borderId="6" xfId="0" applyFont="1" applyBorder="1"/>
    <xf numFmtId="0" fontId="11" fillId="0" borderId="0" xfId="0" applyFont="1"/>
    <xf numFmtId="0" fontId="11" fillId="0" borderId="0" xfId="0" applyFont="1" applyAlignment="1">
      <alignment shrinkToFit="1"/>
    </xf>
    <xf numFmtId="0" fontId="12" fillId="0" borderId="0" xfId="0" applyFont="1" applyAlignment="1">
      <alignment vertical="center"/>
    </xf>
    <xf numFmtId="0" fontId="12" fillId="0" borderId="0" xfId="0" applyFont="1"/>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176" fontId="14" fillId="0" borderId="0" xfId="0" applyNumberFormat="1" applyFont="1" applyAlignment="1">
      <alignment vertical="center"/>
    </xf>
    <xf numFmtId="0" fontId="15" fillId="0" borderId="0" xfId="0" applyFont="1" applyAlignment="1">
      <alignment vertical="center"/>
    </xf>
    <xf numFmtId="0" fontId="4" fillId="0" borderId="0" xfId="0" applyFont="1" applyAlignment="1">
      <alignment vertical="center"/>
    </xf>
    <xf numFmtId="0" fontId="16" fillId="0" borderId="0" xfId="0" applyFont="1"/>
    <xf numFmtId="178" fontId="15" fillId="0" borderId="0" xfId="0" applyNumberFormat="1" applyFont="1" applyAlignment="1">
      <alignment vertical="center"/>
    </xf>
    <xf numFmtId="0" fontId="2" fillId="0" borderId="2" xfId="0" applyFont="1" applyBorder="1"/>
    <xf numFmtId="0" fontId="15" fillId="0" borderId="0" xfId="0" applyFont="1"/>
    <xf numFmtId="0" fontId="15" fillId="0" borderId="0" xfId="0" applyFont="1" applyAlignment="1">
      <alignment horizontal="distributed" vertical="center"/>
    </xf>
    <xf numFmtId="0" fontId="17" fillId="0" borderId="0" xfId="0" applyFont="1" applyAlignment="1">
      <alignment horizontal="distributed" vertical="center"/>
    </xf>
    <xf numFmtId="178" fontId="15" fillId="0" borderId="0" xfId="0" applyNumberFormat="1" applyFont="1"/>
    <xf numFmtId="0" fontId="14" fillId="0" borderId="0" xfId="0" applyFont="1"/>
    <xf numFmtId="0" fontId="15" fillId="0" borderId="0" xfId="0" applyFont="1" applyAlignment="1">
      <alignment horizontal="distributed" vertical="center" wrapText="1"/>
    </xf>
    <xf numFmtId="0" fontId="6" fillId="0" borderId="0" xfId="0" applyFont="1" applyAlignment="1">
      <alignment wrapText="1"/>
    </xf>
    <xf numFmtId="38" fontId="6" fillId="0" borderId="0" xfId="0" applyNumberFormat="1" applyFont="1" applyAlignment="1">
      <alignment horizontal="right" vertical="top"/>
    </xf>
    <xf numFmtId="38" fontId="6" fillId="0" borderId="0" xfId="0" applyNumberFormat="1" applyFont="1"/>
    <xf numFmtId="0" fontId="6" fillId="0" borderId="0" xfId="0" applyFont="1" applyAlignment="1">
      <alignment vertical="top"/>
    </xf>
    <xf numFmtId="38" fontId="4" fillId="0" borderId="0" xfId="0" applyNumberFormat="1" applyFont="1"/>
    <xf numFmtId="38" fontId="4" fillId="0" borderId="0" xfId="1" applyFont="1" applyBorder="1"/>
    <xf numFmtId="0" fontId="6" fillId="0" borderId="0" xfId="0" applyFont="1" applyAlignment="1">
      <alignment horizontal="center"/>
    </xf>
    <xf numFmtId="0" fontId="2" fillId="0" borderId="0" xfId="0" applyFont="1" applyAlignment="1">
      <alignment horizontal="distributed" vertical="center"/>
    </xf>
    <xf numFmtId="0" fontId="14" fillId="0" borderId="6" xfId="0" applyFont="1" applyBorder="1" applyAlignment="1">
      <alignment vertical="center"/>
    </xf>
    <xf numFmtId="0" fontId="2" fillId="0" borderId="0" xfId="0" applyFont="1" applyAlignment="1">
      <alignment horizontal="center"/>
    </xf>
    <xf numFmtId="0" fontId="10" fillId="0" borderId="0" xfId="0" applyFont="1" applyAlignment="1">
      <alignment vertical="center"/>
    </xf>
    <xf numFmtId="38" fontId="10" fillId="0" borderId="0" xfId="0" applyNumberFormat="1" applyFont="1" applyAlignment="1">
      <alignment vertical="center"/>
    </xf>
    <xf numFmtId="41" fontId="2" fillId="0" borderId="0" xfId="0" applyNumberFormat="1" applyFont="1" applyAlignment="1">
      <alignment shrinkToFit="1"/>
    </xf>
    <xf numFmtId="0" fontId="10" fillId="0" borderId="0" xfId="0" applyFont="1"/>
    <xf numFmtId="38" fontId="10" fillId="0" borderId="0" xfId="0" applyNumberFormat="1" applyFont="1"/>
    <xf numFmtId="10" fontId="2" fillId="0" borderId="0" xfId="0" applyNumberFormat="1" applyFont="1"/>
    <xf numFmtId="3" fontId="2" fillId="0" borderId="0" xfId="0" applyNumberFormat="1" applyFont="1"/>
    <xf numFmtId="3" fontId="6" fillId="0" borderId="0" xfId="0" applyNumberFormat="1" applyFont="1"/>
    <xf numFmtId="10" fontId="6" fillId="0" borderId="0" xfId="0" applyNumberFormat="1" applyFont="1"/>
    <xf numFmtId="0" fontId="20" fillId="0" borderId="0" xfId="0" applyFont="1" applyAlignment="1">
      <alignment vertical="center"/>
    </xf>
    <xf numFmtId="3" fontId="20" fillId="0" borderId="0" xfId="0" applyNumberFormat="1" applyFont="1" applyAlignment="1">
      <alignment vertical="center"/>
    </xf>
    <xf numFmtId="179" fontId="10" fillId="0" borderId="0" xfId="0" applyNumberFormat="1" applyFont="1" applyAlignment="1">
      <alignment horizontal="right"/>
    </xf>
    <xf numFmtId="182" fontId="20" fillId="0" borderId="0" xfId="0" applyNumberFormat="1" applyFont="1" applyAlignment="1">
      <alignment vertical="center"/>
    </xf>
    <xf numFmtId="0" fontId="4" fillId="0" borderId="0" xfId="0" applyFont="1" applyAlignment="1">
      <alignment horizontal="center" vertical="center"/>
    </xf>
    <xf numFmtId="3" fontId="6" fillId="0" borderId="0" xfId="0" applyNumberFormat="1" applyFont="1" applyAlignment="1">
      <alignment vertical="center"/>
    </xf>
    <xf numFmtId="0" fontId="4" fillId="0" borderId="0" xfId="0" applyFont="1" applyAlignment="1">
      <alignment horizontal="right" vertical="center"/>
    </xf>
    <xf numFmtId="3" fontId="15" fillId="0" borderId="0" xfId="0" applyNumberFormat="1" applyFont="1" applyAlignment="1">
      <alignment vertical="center"/>
    </xf>
    <xf numFmtId="10" fontId="2" fillId="0" borderId="0" xfId="0" applyNumberFormat="1" applyFont="1" applyAlignment="1">
      <alignment vertical="center"/>
    </xf>
    <xf numFmtId="3"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38" fontId="2" fillId="0" borderId="0" xfId="0" applyNumberFormat="1" applyFont="1" applyAlignment="1">
      <alignment vertical="center"/>
    </xf>
    <xf numFmtId="38" fontId="2" fillId="0" borderId="0" xfId="1" applyFont="1" applyAlignment="1">
      <alignment vertical="center"/>
    </xf>
    <xf numFmtId="38" fontId="2" fillId="0" borderId="0" xfId="1" applyFont="1" applyAlignment="1">
      <alignment horizontal="center" vertical="center"/>
    </xf>
    <xf numFmtId="0" fontId="2" fillId="0" borderId="0" xfId="0" applyFont="1" applyAlignment="1">
      <alignment horizontal="left" vertical="center"/>
    </xf>
    <xf numFmtId="0" fontId="15" fillId="0" borderId="0" xfId="0" applyFont="1" applyAlignment="1">
      <alignment horizontal="center" vertical="center"/>
    </xf>
    <xf numFmtId="0" fontId="6" fillId="0" borderId="6" xfId="0" applyFont="1" applyBorder="1" applyAlignment="1">
      <alignment horizontal="right"/>
    </xf>
    <xf numFmtId="0" fontId="2" fillId="0" borderId="0" xfId="0" applyFont="1" applyAlignment="1">
      <alignment horizontal="left"/>
    </xf>
    <xf numFmtId="183" fontId="15" fillId="0" borderId="0" xfId="0" applyNumberFormat="1" applyFont="1" applyAlignment="1">
      <alignment horizontal="right"/>
    </xf>
    <xf numFmtId="183" fontId="15" fillId="0" borderId="0" xfId="0" applyNumberFormat="1" applyFont="1" applyAlignment="1">
      <alignment vertical="center"/>
    </xf>
    <xf numFmtId="0" fontId="15" fillId="0" borderId="0" xfId="0" applyFont="1" applyAlignment="1">
      <alignment horizontal="right" vertical="center"/>
    </xf>
    <xf numFmtId="184" fontId="15" fillId="0" borderId="0" xfId="0" applyNumberFormat="1" applyFont="1" applyAlignment="1">
      <alignment vertical="center"/>
    </xf>
    <xf numFmtId="0" fontId="15" fillId="0" borderId="0" xfId="0" applyFont="1" applyAlignment="1">
      <alignment horizontal="left"/>
    </xf>
    <xf numFmtId="0" fontId="12" fillId="0" borderId="0" xfId="0" applyFont="1" applyAlignment="1">
      <alignment horizontal="left" vertical="center"/>
    </xf>
    <xf numFmtId="0" fontId="2" fillId="0" borderId="0" xfId="0" applyFont="1" applyAlignment="1">
      <alignment horizontal="right" vertical="center"/>
    </xf>
    <xf numFmtId="49" fontId="2" fillId="0" borderId="0" xfId="0" applyNumberFormat="1" applyFont="1"/>
    <xf numFmtId="49" fontId="6" fillId="0" borderId="0" xfId="0" applyNumberFormat="1" applyFont="1" applyAlignment="1">
      <alignment horizontal="left" vertical="center"/>
    </xf>
    <xf numFmtId="0" fontId="2" fillId="0" borderId="0" xfId="0" applyFont="1" applyAlignment="1">
      <alignment horizontal="right"/>
    </xf>
    <xf numFmtId="3" fontId="4" fillId="0" borderId="0" xfId="0" applyNumberFormat="1" applyFont="1" applyAlignment="1">
      <alignment horizontal="right" vertical="center"/>
    </xf>
    <xf numFmtId="185" fontId="6" fillId="0" borderId="0" xfId="0" applyNumberFormat="1" applyFont="1" applyAlignment="1">
      <alignment horizontal="right" vertical="center"/>
    </xf>
    <xf numFmtId="0" fontId="4" fillId="0" borderId="0" xfId="0" applyFont="1" applyAlignment="1">
      <alignment horizontal="right"/>
    </xf>
    <xf numFmtId="0" fontId="4" fillId="0" borderId="0" xfId="0" applyFont="1" applyAlignment="1">
      <alignment horizontal="center"/>
    </xf>
    <xf numFmtId="41" fontId="2" fillId="0" borderId="0" xfId="0" applyNumberFormat="1" applyFont="1" applyAlignment="1">
      <alignment vertical="center"/>
    </xf>
    <xf numFmtId="0" fontId="2" fillId="0" borderId="6" xfId="0" applyFont="1" applyBorder="1" applyAlignment="1">
      <alignment vertical="center"/>
    </xf>
    <xf numFmtId="0" fontId="4" fillId="0" borderId="0" xfId="0" applyFont="1" applyAlignment="1">
      <alignment horizontal="distributed"/>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0" borderId="6" xfId="0" applyFont="1" applyBorder="1" applyAlignment="1">
      <alignment horizontal="distributed" vertical="center"/>
    </xf>
    <xf numFmtId="0" fontId="4" fillId="0" borderId="17" xfId="0" applyFont="1" applyBorder="1" applyAlignment="1">
      <alignment horizontal="distributed"/>
    </xf>
    <xf numFmtId="0" fontId="4" fillId="0" borderId="18" xfId="0" applyFont="1" applyBorder="1" applyAlignment="1">
      <alignment horizontal="distributed"/>
    </xf>
    <xf numFmtId="41" fontId="12" fillId="0" borderId="0" xfId="0" applyNumberFormat="1" applyFont="1" applyAlignment="1">
      <alignment vertical="center"/>
    </xf>
    <xf numFmtId="0" fontId="2" fillId="0" borderId="0" xfId="0" applyFont="1" applyAlignment="1">
      <alignment vertical="top"/>
    </xf>
    <xf numFmtId="0" fontId="4" fillId="0" borderId="6" xfId="0" applyFont="1" applyBorder="1" applyAlignment="1">
      <alignment vertical="center"/>
    </xf>
    <xf numFmtId="0" fontId="4" fillId="0" borderId="0" xfId="0" applyFont="1" applyAlignment="1">
      <alignment horizontal="left"/>
    </xf>
    <xf numFmtId="0" fontId="22" fillId="0" borderId="6" xfId="0" applyFont="1" applyBorder="1" applyAlignment="1">
      <alignment vertical="center"/>
    </xf>
    <xf numFmtId="0" fontId="4" fillId="0" borderId="0" xfId="0" applyFont="1" applyAlignment="1">
      <alignment horizontal="distributed" vertical="center"/>
    </xf>
    <xf numFmtId="41" fontId="2" fillId="0" borderId="0" xfId="0" applyNumberFormat="1" applyFont="1"/>
    <xf numFmtId="0" fontId="12" fillId="0" borderId="6" xfId="0" applyFont="1" applyBorder="1" applyAlignment="1">
      <alignment horizontal="right" vertical="center"/>
    </xf>
    <xf numFmtId="0" fontId="2" fillId="0" borderId="0" xfId="0" applyFont="1" applyAlignment="1">
      <alignment vertical="top" wrapText="1"/>
    </xf>
    <xf numFmtId="38" fontId="12" fillId="0" borderId="0" xfId="0" applyNumberFormat="1" applyFont="1" applyAlignment="1">
      <alignment vertical="center"/>
    </xf>
    <xf numFmtId="0" fontId="23" fillId="0" borderId="0" xfId="5" applyNumberFormat="1" applyFill="1" applyBorder="1" applyAlignment="1" applyProtection="1">
      <alignment vertical="top" wrapText="1"/>
    </xf>
    <xf numFmtId="0" fontId="2" fillId="0" borderId="0" xfId="0" applyFont="1" applyAlignment="1">
      <alignment vertical="center" wrapText="1"/>
    </xf>
    <xf numFmtId="187" fontId="2" fillId="0" borderId="0" xfId="0" applyNumberFormat="1" applyFont="1" applyAlignment="1">
      <alignment vertical="center"/>
    </xf>
    <xf numFmtId="0" fontId="12" fillId="0" borderId="0" xfId="0" applyFont="1" applyAlignment="1">
      <alignment horizontal="right" vertical="center"/>
    </xf>
    <xf numFmtId="0" fontId="6" fillId="0" borderId="0" xfId="0" applyFont="1" applyAlignment="1">
      <alignment vertical="center" shrinkToFit="1"/>
    </xf>
    <xf numFmtId="188" fontId="6" fillId="0" borderId="0" xfId="7" applyNumberFormat="1" applyFont="1" applyAlignment="1"/>
    <xf numFmtId="38" fontId="12" fillId="0" borderId="0" xfId="0" applyNumberFormat="1" applyFont="1"/>
    <xf numFmtId="3" fontId="6" fillId="0" borderId="0" xfId="0" applyNumberFormat="1" applyFont="1" applyAlignment="1">
      <alignment horizontal="right" vertical="center"/>
    </xf>
    <xf numFmtId="0" fontId="6" fillId="0" borderId="0" xfId="0" applyFont="1" applyAlignment="1">
      <alignment horizontal="left" vertical="center"/>
    </xf>
    <xf numFmtId="0" fontId="6" fillId="0" borderId="0" xfId="0" applyFont="1" applyAlignment="1">
      <alignment horizontal="left"/>
    </xf>
    <xf numFmtId="0" fontId="2" fillId="0" borderId="0" xfId="0" applyFont="1" applyAlignment="1">
      <alignment horizontal="left"/>
    </xf>
    <xf numFmtId="0" fontId="12" fillId="0" borderId="0" xfId="0" applyFont="1" applyAlignment="1">
      <alignment vertical="center"/>
    </xf>
    <xf numFmtId="0" fontId="13" fillId="0" borderId="19" xfId="0" applyFont="1" applyBorder="1" applyAlignment="1">
      <alignment vertical="center"/>
    </xf>
    <xf numFmtId="0" fontId="8" fillId="0" borderId="20" xfId="0" applyFont="1" applyBorder="1" applyAlignment="1">
      <alignment vertical="center"/>
    </xf>
    <xf numFmtId="0" fontId="8" fillId="0" borderId="20" xfId="0" applyFont="1" applyBorder="1" applyAlignment="1">
      <alignment vertical="center" shrinkToFit="1"/>
    </xf>
    <xf numFmtId="0" fontId="0" fillId="0" borderId="21" xfId="0" applyFont="1" applyBorder="1" applyAlignment="1">
      <alignment vertical="center"/>
    </xf>
    <xf numFmtId="0" fontId="0" fillId="0" borderId="0" xfId="0" applyFont="1" applyAlignment="1">
      <alignment vertical="center"/>
    </xf>
    <xf numFmtId="0" fontId="6" fillId="0" borderId="22" xfId="0" applyFont="1" applyBorder="1" applyAlignment="1">
      <alignment horizontal="right" vertical="center"/>
    </xf>
    <xf numFmtId="0" fontId="4" fillId="0" borderId="23" xfId="0" applyFont="1" applyBorder="1" applyAlignment="1">
      <alignment horizontal="distributed"/>
    </xf>
    <xf numFmtId="0" fontId="4" fillId="0" borderId="24" xfId="0" applyFont="1" applyBorder="1" applyAlignment="1">
      <alignment horizontal="distributed"/>
    </xf>
    <xf numFmtId="0" fontId="4" fillId="0" borderId="25" xfId="0" applyFont="1" applyBorder="1" applyAlignment="1">
      <alignment horizontal="distributed" shrinkToFit="1"/>
    </xf>
    <xf numFmtId="0" fontId="6"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horizontal="distributed" vertical="center"/>
    </xf>
    <xf numFmtId="0" fontId="6" fillId="0" borderId="29" xfId="0" applyFont="1" applyBorder="1" applyAlignment="1">
      <alignment vertical="center"/>
    </xf>
    <xf numFmtId="0" fontId="4" fillId="0" borderId="29" xfId="0" applyFont="1" applyBorder="1" applyAlignment="1">
      <alignment horizontal="right" vertical="top"/>
    </xf>
    <xf numFmtId="0" fontId="4" fillId="0" borderId="30" xfId="0" applyFont="1" applyBorder="1" applyAlignment="1">
      <alignment horizontal="right" vertical="top" shrinkToFit="1"/>
    </xf>
    <xf numFmtId="0" fontId="10" fillId="0" borderId="26" xfId="0" applyFont="1" applyBorder="1" applyAlignment="1">
      <alignment horizontal="center" vertical="center"/>
    </xf>
    <xf numFmtId="187" fontId="10" fillId="0" borderId="32" xfId="0" applyNumberFormat="1" applyFont="1" applyBorder="1" applyAlignment="1">
      <alignment horizontal="right" shrinkToFit="1"/>
    </xf>
    <xf numFmtId="189" fontId="10" fillId="0" borderId="27" xfId="0" applyNumberFormat="1" applyFont="1" applyBorder="1" applyAlignment="1">
      <alignment horizontal="right" vertical="center" shrinkToFit="1"/>
    </xf>
    <xf numFmtId="187" fontId="10" fillId="0" borderId="27" xfId="0" applyNumberFormat="1" applyFont="1" applyBorder="1" applyAlignment="1">
      <alignment horizontal="right" shrinkToFit="1"/>
    </xf>
    <xf numFmtId="187" fontId="10" fillId="0" borderId="27" xfId="0" applyNumberFormat="1" applyFont="1" applyBorder="1" applyAlignment="1">
      <alignment horizontal="right" vertical="center" shrinkToFit="1"/>
    </xf>
    <xf numFmtId="190" fontId="10" fillId="0" borderId="28" xfId="0" applyNumberFormat="1" applyFont="1" applyBorder="1" applyAlignment="1">
      <alignment horizontal="right" vertical="center" shrinkToFit="1"/>
    </xf>
    <xf numFmtId="187" fontId="10" fillId="0" borderId="5" xfId="0" applyNumberFormat="1" applyFont="1" applyBorder="1" applyAlignment="1">
      <alignment horizontal="right" shrinkToFit="1"/>
    </xf>
    <xf numFmtId="191" fontId="10" fillId="0" borderId="26" xfId="0" applyNumberFormat="1" applyFont="1" applyBorder="1" applyAlignment="1">
      <alignment horizontal="right" vertical="center" shrinkToFit="1"/>
    </xf>
    <xf numFmtId="191" fontId="10" fillId="0" borderId="4" xfId="0" applyNumberFormat="1" applyFont="1" applyBorder="1" applyAlignment="1">
      <alignment horizontal="right" vertical="center"/>
    </xf>
    <xf numFmtId="0" fontId="9" fillId="0" borderId="26" xfId="0" applyFont="1" applyBorder="1" applyAlignment="1">
      <alignment horizontal="center" vertical="center"/>
    </xf>
    <xf numFmtId="187" fontId="4" fillId="0" borderId="27" xfId="0" applyNumberFormat="1" applyFont="1" applyBorder="1" applyAlignment="1">
      <alignment horizontal="right" shrinkToFit="1"/>
    </xf>
    <xf numFmtId="187" fontId="4" fillId="0" borderId="27" xfId="0" applyNumberFormat="1" applyFont="1" applyBorder="1" applyAlignment="1">
      <alignment horizontal="right" vertical="center" shrinkToFit="1"/>
    </xf>
    <xf numFmtId="190" fontId="4" fillId="0" borderId="28" xfId="0" applyNumberFormat="1" applyFont="1" applyBorder="1" applyAlignment="1">
      <alignment horizontal="right" vertical="center" shrinkToFit="1"/>
    </xf>
    <xf numFmtId="187" fontId="4" fillId="0" borderId="5" xfId="0" applyNumberFormat="1" applyFont="1" applyBorder="1" applyAlignment="1">
      <alignment horizontal="right" shrinkToFit="1"/>
    </xf>
    <xf numFmtId="191" fontId="4" fillId="0" borderId="26" xfId="0" applyNumberFormat="1" applyFont="1" applyBorder="1" applyAlignment="1">
      <alignment horizontal="right" vertical="center" shrinkToFit="1"/>
    </xf>
    <xf numFmtId="191" fontId="4" fillId="0" borderId="4" xfId="0" applyNumberFormat="1" applyFont="1" applyBorder="1" applyAlignment="1">
      <alignment horizontal="right" vertical="center"/>
    </xf>
    <xf numFmtId="192" fontId="4" fillId="0" borderId="26" xfId="0" applyNumberFormat="1" applyFont="1" applyBorder="1" applyAlignment="1">
      <alignment horizontal="right" vertical="center" shrinkToFit="1"/>
    </xf>
    <xf numFmtId="0" fontId="4" fillId="0" borderId="26" xfId="0" applyFont="1" applyBorder="1" applyAlignment="1">
      <alignment horizontal="center" vertical="center"/>
    </xf>
    <xf numFmtId="0" fontId="9" fillId="0" borderId="29" xfId="0" applyFont="1" applyBorder="1" applyAlignment="1">
      <alignment horizontal="center" vertical="center"/>
    </xf>
    <xf numFmtId="187" fontId="4" fillId="0" borderId="31" xfId="0" applyNumberFormat="1" applyFont="1" applyBorder="1" applyAlignment="1">
      <alignment horizontal="right" wrapText="1" shrinkToFit="1"/>
    </xf>
    <xf numFmtId="187" fontId="4" fillId="0" borderId="31" xfId="0" applyNumberFormat="1" applyFont="1" applyBorder="1" applyAlignment="1">
      <alignment horizontal="right" shrinkToFit="1"/>
    </xf>
    <xf numFmtId="190" fontId="4" fillId="0" borderId="33" xfId="0" applyNumberFormat="1" applyFont="1" applyBorder="1" applyAlignment="1">
      <alignment horizontal="right" shrinkToFit="1"/>
    </xf>
    <xf numFmtId="187" fontId="4" fillId="0" borderId="30" xfId="0" applyNumberFormat="1" applyFont="1" applyBorder="1" applyAlignment="1">
      <alignment horizontal="right" wrapText="1" shrinkToFit="1"/>
    </xf>
    <xf numFmtId="191" fontId="4" fillId="0" borderId="29" xfId="0" applyNumberFormat="1" applyFont="1" applyBorder="1" applyAlignment="1">
      <alignment horizontal="right" vertical="center" shrinkToFit="1"/>
    </xf>
    <xf numFmtId="191" fontId="4" fillId="0" borderId="34" xfId="0" applyNumberFormat="1" applyFont="1" applyBorder="1" applyAlignment="1">
      <alignment horizontal="right" vertical="center"/>
    </xf>
    <xf numFmtId="0" fontId="4" fillId="0" borderId="26" xfId="0" applyFont="1" applyBorder="1" applyAlignment="1">
      <alignment horizontal="distributed" vertical="center"/>
    </xf>
    <xf numFmtId="0" fontId="4" fillId="0" borderId="23" xfId="0" applyFont="1" applyBorder="1" applyAlignment="1">
      <alignment horizontal="right" vertical="center"/>
    </xf>
    <xf numFmtId="0" fontId="4" fillId="0" borderId="31" xfId="0" applyFont="1" applyBorder="1" applyAlignment="1">
      <alignment horizontal="left" vertical="center"/>
    </xf>
    <xf numFmtId="0" fontId="4" fillId="0" borderId="36" xfId="0" applyFont="1" applyBorder="1" applyAlignment="1">
      <alignment horizontal="right" vertical="center"/>
    </xf>
    <xf numFmtId="0" fontId="4" fillId="0" borderId="37" xfId="0" applyFont="1" applyBorder="1" applyAlignment="1">
      <alignment horizontal="center" vertical="center"/>
    </xf>
    <xf numFmtId="0" fontId="4" fillId="0" borderId="36" xfId="0" applyFont="1" applyBorder="1" applyAlignment="1">
      <alignment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176" fontId="15" fillId="0" borderId="27" xfId="0" applyNumberFormat="1" applyFont="1" applyBorder="1" applyAlignment="1">
      <alignment horizontal="right" vertical="center"/>
    </xf>
    <xf numFmtId="177" fontId="15" fillId="0" borderId="27" xfId="0" applyNumberFormat="1" applyFont="1" applyBorder="1" applyAlignment="1">
      <alignment horizontal="right" vertical="center"/>
    </xf>
    <xf numFmtId="176" fontId="15" fillId="0" borderId="27" xfId="1" applyNumberFormat="1" applyFont="1" applyBorder="1" applyAlignment="1" applyProtection="1">
      <alignment horizontal="right" vertical="center"/>
    </xf>
    <xf numFmtId="0" fontId="15" fillId="0" borderId="27" xfId="0" applyFont="1" applyBorder="1" applyAlignment="1">
      <alignment horizontal="center" vertical="center"/>
    </xf>
    <xf numFmtId="0" fontId="14" fillId="0" borderId="31" xfId="0" applyFont="1" applyBorder="1" applyAlignment="1">
      <alignment horizontal="center" vertical="center"/>
    </xf>
    <xf numFmtId="176" fontId="14" fillId="0" borderId="31" xfId="0" applyNumberFormat="1" applyFont="1" applyBorder="1" applyAlignment="1">
      <alignment horizontal="right" vertical="center"/>
    </xf>
    <xf numFmtId="177" fontId="14" fillId="0" borderId="31" xfId="0" applyNumberFormat="1" applyFont="1" applyBorder="1" applyAlignment="1">
      <alignment horizontal="right" vertical="center"/>
    </xf>
    <xf numFmtId="176" fontId="14" fillId="0" borderId="31" xfId="1" applyNumberFormat="1" applyFont="1" applyBorder="1" applyAlignment="1" applyProtection="1">
      <alignment horizontal="right" vertical="center"/>
    </xf>
    <xf numFmtId="0" fontId="15" fillId="0" borderId="22" xfId="0" applyFont="1" applyBorder="1" applyAlignment="1">
      <alignment horizontal="right" vertical="center"/>
    </xf>
    <xf numFmtId="0" fontId="15" fillId="0" borderId="34" xfId="0" applyFont="1" applyBorder="1" applyAlignment="1">
      <alignment vertical="center"/>
    </xf>
    <xf numFmtId="0" fontId="14" fillId="0" borderId="41" xfId="0" applyFont="1" applyBorder="1" applyAlignment="1">
      <alignment horizontal="distributed" vertical="center"/>
    </xf>
    <xf numFmtId="194" fontId="14" fillId="0" borderId="32" xfId="0" applyNumberFormat="1" applyFont="1" applyBorder="1" applyAlignment="1">
      <alignment horizontal="right" vertical="center"/>
    </xf>
    <xf numFmtId="194" fontId="14" fillId="0" borderId="32" xfId="1" applyNumberFormat="1" applyFont="1" applyBorder="1" applyAlignment="1" applyProtection="1">
      <alignment horizontal="right" vertical="center"/>
    </xf>
    <xf numFmtId="0" fontId="15" fillId="0" borderId="26" xfId="0" applyFont="1" applyBorder="1" applyAlignment="1">
      <alignment vertical="center"/>
    </xf>
    <xf numFmtId="0" fontId="15" fillId="0" borderId="42" xfId="0" applyFont="1" applyBorder="1" applyAlignment="1">
      <alignment horizontal="distributed" vertical="center"/>
    </xf>
    <xf numFmtId="194" fontId="17" fillId="0" borderId="27" xfId="0" applyNumberFormat="1" applyFont="1" applyBorder="1" applyAlignment="1">
      <alignment horizontal="right" vertical="center"/>
    </xf>
    <xf numFmtId="194" fontId="14" fillId="0" borderId="27" xfId="1" applyNumberFormat="1" applyFont="1" applyBorder="1" applyAlignment="1" applyProtection="1">
      <alignment horizontal="right" vertical="center"/>
    </xf>
    <xf numFmtId="194" fontId="15" fillId="0" borderId="27" xfId="0" applyNumberFormat="1" applyFont="1" applyBorder="1" applyAlignment="1">
      <alignment horizontal="right" vertical="center"/>
    </xf>
    <xf numFmtId="194" fontId="15" fillId="0" borderId="27" xfId="1" applyNumberFormat="1" applyFont="1" applyBorder="1" applyAlignment="1" applyProtection="1">
      <alignment horizontal="right" vertical="center"/>
    </xf>
    <xf numFmtId="0" fontId="15" fillId="0" borderId="29" xfId="0" applyFont="1" applyBorder="1" applyAlignment="1">
      <alignment vertical="center"/>
    </xf>
    <xf numFmtId="0" fontId="15" fillId="0" borderId="36" xfId="0" applyFont="1" applyBorder="1" applyAlignment="1">
      <alignment horizontal="distributed" vertical="center"/>
    </xf>
    <xf numFmtId="0" fontId="15" fillId="0" borderId="34" xfId="0" applyFont="1" applyBorder="1" applyAlignment="1">
      <alignment horizontal="distributed" vertical="center"/>
    </xf>
    <xf numFmtId="194" fontId="15" fillId="0" borderId="31" xfId="1" applyNumberFormat="1" applyFont="1" applyBorder="1" applyAlignment="1" applyProtection="1">
      <alignment horizontal="right" vertical="center"/>
    </xf>
    <xf numFmtId="194" fontId="15" fillId="0" borderId="31" xfId="0" applyNumberFormat="1" applyFont="1" applyBorder="1" applyAlignment="1">
      <alignment horizontal="right" vertical="center"/>
    </xf>
    <xf numFmtId="194" fontId="14" fillId="0" borderId="40" xfId="0" applyNumberFormat="1" applyFont="1" applyBorder="1" applyAlignment="1">
      <alignment horizontal="right" vertical="center"/>
    </xf>
    <xf numFmtId="194" fontId="14" fillId="0" borderId="41" xfId="0" applyNumberFormat="1" applyFont="1" applyBorder="1" applyAlignment="1">
      <alignment horizontal="right" vertical="center"/>
    </xf>
    <xf numFmtId="0" fontId="15" fillId="0" borderId="26" xfId="0" applyFont="1" applyBorder="1"/>
    <xf numFmtId="0" fontId="17" fillId="0" borderId="42" xfId="0" applyFont="1" applyBorder="1" applyAlignment="1">
      <alignment horizontal="distributed" vertical="center"/>
    </xf>
    <xf numFmtId="194" fontId="17" fillId="0" borderId="26" xfId="0" applyNumberFormat="1" applyFont="1" applyBorder="1" applyAlignment="1">
      <alignment horizontal="right" vertical="center"/>
    </xf>
    <xf numFmtId="194" fontId="17" fillId="0" borderId="42" xfId="0" applyNumberFormat="1" applyFont="1" applyBorder="1" applyAlignment="1">
      <alignment horizontal="right" vertical="center"/>
    </xf>
    <xf numFmtId="194" fontId="15" fillId="0" borderId="26" xfId="0" applyNumberFormat="1" applyFont="1" applyBorder="1" applyAlignment="1">
      <alignment horizontal="right" vertical="center"/>
    </xf>
    <xf numFmtId="194" fontId="15" fillId="0" borderId="42" xfId="0" applyNumberFormat="1" applyFont="1" applyBorder="1" applyAlignment="1">
      <alignment horizontal="right" vertical="center"/>
    </xf>
    <xf numFmtId="194" fontId="15" fillId="0" borderId="42" xfId="1" applyNumberFormat="1" applyFont="1" applyBorder="1" applyAlignment="1" applyProtection="1">
      <alignment horizontal="right" vertical="center"/>
    </xf>
    <xf numFmtId="0" fontId="2" fillId="0" borderId="29" xfId="0" applyFont="1" applyBorder="1"/>
    <xf numFmtId="0" fontId="4" fillId="0" borderId="36" xfId="0" applyFont="1" applyBorder="1" applyAlignment="1">
      <alignment horizontal="distributed" vertical="center"/>
    </xf>
    <xf numFmtId="0" fontId="6" fillId="0" borderId="34" xfId="0" applyFont="1" applyBorder="1" applyAlignment="1">
      <alignment horizontal="distributed" vertical="center"/>
    </xf>
    <xf numFmtId="194" fontId="15" fillId="0" borderId="29" xfId="0" applyNumberFormat="1" applyFont="1" applyBorder="1" applyAlignment="1">
      <alignment horizontal="right" vertical="center"/>
    </xf>
    <xf numFmtId="194" fontId="15" fillId="0" borderId="34" xfId="0" applyNumberFormat="1" applyFont="1" applyBorder="1" applyAlignment="1">
      <alignment horizontal="right" vertical="center"/>
    </xf>
    <xf numFmtId="0" fontId="15" fillId="0" borderId="35" xfId="0" applyFont="1" applyBorder="1" applyAlignment="1">
      <alignment horizontal="right"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1" xfId="0" applyFont="1" applyBorder="1" applyAlignment="1">
      <alignment horizontal="center" vertical="center"/>
    </xf>
    <xf numFmtId="0" fontId="15" fillId="0" borderId="43" xfId="0" applyFont="1" applyBorder="1" applyAlignment="1">
      <alignment horizontal="right" vertical="center"/>
    </xf>
    <xf numFmtId="0" fontId="15" fillId="0" borderId="36" xfId="0" applyFont="1" applyBorder="1" applyAlignment="1">
      <alignment vertical="center"/>
    </xf>
    <xf numFmtId="0" fontId="15" fillId="0" borderId="26" xfId="0" applyFont="1" applyBorder="1" applyAlignment="1">
      <alignment horizontal="distributed" vertical="center"/>
    </xf>
    <xf numFmtId="0" fontId="15" fillId="0" borderId="29" xfId="0" applyFont="1" applyBorder="1" applyAlignment="1">
      <alignment horizontal="distributed" vertical="center"/>
    </xf>
    <xf numFmtId="38" fontId="14" fillId="0" borderId="42" xfId="1" applyFont="1" applyBorder="1" applyAlignment="1" applyProtection="1">
      <alignment horizontal="right" vertical="center"/>
    </xf>
    <xf numFmtId="38" fontId="15" fillId="0" borderId="42" xfId="1" applyFont="1" applyBorder="1" applyAlignment="1" applyProtection="1">
      <alignment horizontal="right" vertical="center"/>
    </xf>
    <xf numFmtId="0" fontId="15" fillId="0" borderId="29" xfId="0" applyFont="1" applyBorder="1"/>
    <xf numFmtId="38" fontId="15" fillId="0" borderId="34" xfId="1" applyFont="1" applyBorder="1" applyAlignment="1" applyProtection="1">
      <alignment horizontal="right" vertical="center"/>
    </xf>
    <xf numFmtId="0" fontId="14" fillId="0" borderId="26" xfId="0" applyFont="1" applyBorder="1" applyAlignment="1">
      <alignment vertical="center"/>
    </xf>
    <xf numFmtId="195" fontId="15" fillId="0" borderId="36" xfId="0" applyNumberFormat="1" applyFont="1" applyBorder="1" applyAlignment="1">
      <alignment horizontal="distributed" vertical="center"/>
    </xf>
    <xf numFmtId="0" fontId="14" fillId="0" borderId="42" xfId="0" applyFont="1" applyBorder="1" applyAlignment="1">
      <alignment horizontal="distributed" vertical="center"/>
    </xf>
    <xf numFmtId="0" fontId="15" fillId="0" borderId="36" xfId="0" applyFont="1" applyBorder="1"/>
    <xf numFmtId="0" fontId="15" fillId="0" borderId="22" xfId="0" applyFont="1" applyBorder="1"/>
    <xf numFmtId="0" fontId="14" fillId="0" borderId="40" xfId="0" applyFont="1" applyBorder="1" applyAlignment="1">
      <alignment vertical="center"/>
    </xf>
    <xf numFmtId="0" fontId="15" fillId="0" borderId="42" xfId="0" applyFont="1" applyBorder="1" applyAlignment="1">
      <alignment horizontal="distributed" vertical="center" wrapText="1"/>
    </xf>
    <xf numFmtId="0" fontId="15" fillId="0" borderId="40" xfId="0" applyFont="1" applyBorder="1"/>
    <xf numFmtId="0" fontId="6" fillId="0" borderId="44" xfId="0" applyFont="1" applyBorder="1" applyAlignment="1">
      <alignment vertical="center"/>
    </xf>
    <xf numFmtId="0" fontId="6" fillId="0" borderId="44" xfId="0" applyFont="1" applyBorder="1" applyAlignment="1">
      <alignment horizontal="right" vertical="center"/>
    </xf>
    <xf numFmtId="0" fontId="14" fillId="0" borderId="22" xfId="0" applyFont="1" applyBorder="1" applyAlignment="1">
      <alignment vertical="center"/>
    </xf>
    <xf numFmtId="0" fontId="2" fillId="0" borderId="23" xfId="0" applyFont="1" applyBorder="1" applyAlignment="1">
      <alignment vertical="center"/>
    </xf>
    <xf numFmtId="0" fontId="2" fillId="0" borderId="23" xfId="0" applyFont="1" applyBorder="1" applyAlignment="1">
      <alignment horizontal="distributed" vertical="center"/>
    </xf>
    <xf numFmtId="0" fontId="2" fillId="0" borderId="22" xfId="0" applyFont="1" applyBorder="1" applyAlignment="1">
      <alignment vertical="center"/>
    </xf>
    <xf numFmtId="0" fontId="2" fillId="0" borderId="43" xfId="0" applyFont="1" applyBorder="1" applyAlignment="1">
      <alignment vertical="center"/>
    </xf>
    <xf numFmtId="0" fontId="2" fillId="0" borderId="43" xfId="0" applyFont="1" applyBorder="1" applyAlignment="1">
      <alignment horizontal="center" vertical="center"/>
    </xf>
    <xf numFmtId="0" fontId="6" fillId="0" borderId="35" xfId="0" applyFont="1" applyBorder="1" applyAlignment="1">
      <alignment horizontal="right" vertical="center"/>
    </xf>
    <xf numFmtId="0" fontId="4" fillId="0" borderId="27" xfId="0" applyFont="1" applyBorder="1" applyAlignment="1">
      <alignment horizontal="right"/>
    </xf>
    <xf numFmtId="0" fontId="6" fillId="0" borderId="42" xfId="0" applyFont="1" applyBorder="1" applyAlignment="1">
      <alignment horizontal="center"/>
    </xf>
    <xf numFmtId="0" fontId="4" fillId="0" borderId="27" xfId="0" applyFont="1" applyBorder="1"/>
    <xf numFmtId="0" fontId="4" fillId="0" borderId="31" xfId="0" applyFont="1" applyBorder="1" applyAlignment="1">
      <alignment vertical="center"/>
    </xf>
    <xf numFmtId="0" fontId="6" fillId="0" borderId="31" xfId="0" applyFont="1" applyBorder="1" applyAlignment="1">
      <alignment horizontal="center" vertical="center"/>
    </xf>
    <xf numFmtId="0" fontId="6" fillId="0" borderId="34" xfId="0" applyFont="1" applyBorder="1" applyAlignment="1">
      <alignment horizontal="center" vertical="center" wrapText="1"/>
    </xf>
    <xf numFmtId="0" fontId="6" fillId="0" borderId="34" xfId="0" applyFont="1" applyBorder="1" applyAlignment="1">
      <alignment horizontal="center" vertical="center"/>
    </xf>
    <xf numFmtId="0" fontId="4" fillId="0" borderId="31" xfId="0" applyFont="1" applyBorder="1" applyAlignment="1">
      <alignment horizontal="center" vertical="center"/>
    </xf>
    <xf numFmtId="0" fontId="10" fillId="0" borderId="27" xfId="0" applyFont="1" applyBorder="1" applyAlignment="1">
      <alignment horizontal="center" vertical="center"/>
    </xf>
    <xf numFmtId="38" fontId="10" fillId="0" borderId="27" xfId="2" applyFont="1" applyBorder="1" applyAlignment="1" applyProtection="1">
      <alignment vertical="center"/>
    </xf>
    <xf numFmtId="192" fontId="10" fillId="0" borderId="27" xfId="0" applyNumberFormat="1" applyFont="1" applyBorder="1" applyAlignment="1">
      <alignment vertical="center"/>
    </xf>
    <xf numFmtId="38" fontId="10" fillId="0" borderId="0" xfId="2" applyFont="1" applyBorder="1" applyAlignment="1" applyProtection="1">
      <alignment vertical="center"/>
    </xf>
    <xf numFmtId="38" fontId="10" fillId="0" borderId="32" xfId="2" applyFont="1" applyBorder="1" applyAlignment="1" applyProtection="1">
      <alignment vertical="center"/>
    </xf>
    <xf numFmtId="38" fontId="4" fillId="0" borderId="27" xfId="2" applyFont="1" applyBorder="1" applyAlignment="1" applyProtection="1">
      <alignment vertical="center"/>
    </xf>
    <xf numFmtId="0" fontId="4" fillId="0" borderId="27" xfId="0" applyFont="1" applyBorder="1" applyAlignment="1">
      <alignment horizontal="right" vertical="center"/>
    </xf>
    <xf numFmtId="38" fontId="4" fillId="0" borderId="0" xfId="2" applyFont="1" applyBorder="1" applyAlignment="1" applyProtection="1">
      <alignment vertical="center"/>
    </xf>
    <xf numFmtId="0" fontId="9" fillId="0" borderId="27" xfId="0" applyFont="1" applyBorder="1" applyAlignment="1">
      <alignment horizontal="center" vertical="center"/>
    </xf>
    <xf numFmtId="192" fontId="4" fillId="0" borderId="27" xfId="0" applyNumberFormat="1" applyFont="1" applyBorder="1" applyAlignment="1">
      <alignment vertical="center"/>
    </xf>
    <xf numFmtId="38" fontId="4" fillId="0" borderId="0" xfId="2" applyFont="1" applyBorder="1" applyAlignment="1" applyProtection="1">
      <alignment horizontal="right" vertical="center"/>
    </xf>
    <xf numFmtId="38" fontId="4" fillId="0" borderId="27" xfId="2" applyFont="1" applyBorder="1" applyAlignment="1" applyProtection="1">
      <alignment horizontal="right" vertical="center"/>
    </xf>
    <xf numFmtId="192" fontId="4" fillId="0" borderId="27" xfId="0" applyNumberFormat="1" applyFont="1" applyBorder="1" applyAlignment="1">
      <alignment horizontal="right" vertical="center"/>
    </xf>
    <xf numFmtId="0" fontId="19" fillId="0" borderId="31" xfId="0" applyFont="1" applyBorder="1" applyAlignment="1">
      <alignment horizontal="center" vertical="center" wrapText="1"/>
    </xf>
    <xf numFmtId="38" fontId="4" fillId="0" borderId="31" xfId="2" applyFont="1" applyBorder="1" applyAlignment="1" applyProtection="1">
      <alignment vertical="center" shrinkToFit="1"/>
    </xf>
    <xf numFmtId="192" fontId="4" fillId="0" borderId="31" xfId="0" applyNumberFormat="1" applyFont="1" applyBorder="1" applyAlignment="1">
      <alignment vertical="center" shrinkToFit="1"/>
    </xf>
    <xf numFmtId="38" fontId="4" fillId="0" borderId="36" xfId="2" applyFont="1" applyBorder="1" applyAlignment="1" applyProtection="1">
      <alignment vertical="center" shrinkToFit="1"/>
    </xf>
    <xf numFmtId="0" fontId="24" fillId="0" borderId="6" xfId="0" applyFont="1" applyBorder="1" applyAlignment="1">
      <alignment vertical="center"/>
    </xf>
    <xf numFmtId="0" fontId="25" fillId="0" borderId="6" xfId="0" applyFont="1" applyBorder="1"/>
    <xf numFmtId="0" fontId="25" fillId="0" borderId="6" xfId="0" applyFont="1" applyBorder="1" applyAlignment="1">
      <alignment horizontal="distributed"/>
    </xf>
    <xf numFmtId="0" fontId="25" fillId="0" borderId="0" xfId="0" applyFont="1" applyAlignment="1">
      <alignment horizontal="center"/>
    </xf>
    <xf numFmtId="0" fontId="26" fillId="0" borderId="23" xfId="0" applyFont="1" applyBorder="1" applyAlignment="1">
      <alignment horizontal="right"/>
    </xf>
    <xf numFmtId="0" fontId="26" fillId="0" borderId="43" xfId="0" applyFont="1" applyBorder="1" applyAlignment="1">
      <alignment horizontal="center"/>
    </xf>
    <xf numFmtId="0" fontId="26" fillId="0" borderId="35" xfId="0" applyFont="1" applyBorder="1" applyAlignment="1">
      <alignment horizontal="center"/>
    </xf>
    <xf numFmtId="0" fontId="26" fillId="0" borderId="27" xfId="0" applyFont="1" applyBorder="1"/>
    <xf numFmtId="0" fontId="26" fillId="0" borderId="31" xfId="0" applyFont="1" applyBorder="1" applyAlignment="1">
      <alignment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wrapText="1"/>
    </xf>
    <xf numFmtId="0" fontId="26" fillId="0" borderId="34" xfId="0" applyFont="1" applyBorder="1" applyAlignment="1">
      <alignment horizontal="center" vertical="center"/>
    </xf>
    <xf numFmtId="0" fontId="27" fillId="0" borderId="31" xfId="0" applyFont="1" applyBorder="1" applyAlignment="1">
      <alignment horizontal="center" vertical="center"/>
    </xf>
    <xf numFmtId="0" fontId="28" fillId="0" borderId="27" xfId="0" applyFont="1" applyBorder="1" applyAlignment="1">
      <alignment horizontal="center" vertical="center"/>
    </xf>
    <xf numFmtId="38" fontId="27" fillId="0" borderId="27" xfId="1" applyFont="1" applyBorder="1" applyAlignment="1" applyProtection="1">
      <alignment horizontal="right" vertical="center"/>
    </xf>
    <xf numFmtId="3" fontId="27" fillId="0" borderId="27" xfId="0" applyNumberFormat="1" applyFont="1" applyBorder="1" applyAlignment="1">
      <alignment horizontal="right" vertical="center"/>
    </xf>
    <xf numFmtId="180" fontId="27" fillId="0" borderId="27" xfId="0" applyNumberFormat="1" applyFont="1" applyBorder="1" applyAlignment="1">
      <alignment horizontal="right" vertical="center"/>
    </xf>
    <xf numFmtId="192" fontId="27" fillId="0" borderId="27" xfId="0" applyNumberFormat="1" applyFont="1" applyBorder="1" applyAlignment="1">
      <alignment vertical="center"/>
    </xf>
    <xf numFmtId="10" fontId="27" fillId="0" borderId="27" xfId="0" applyNumberFormat="1" applyFont="1" applyBorder="1" applyAlignment="1">
      <alignment horizontal="center" vertical="center"/>
    </xf>
    <xf numFmtId="196" fontId="27" fillId="0" borderId="26" xfId="0" applyNumberFormat="1" applyFont="1" applyBorder="1" applyAlignment="1">
      <alignment horizontal="right" vertical="center"/>
    </xf>
    <xf numFmtId="196" fontId="27" fillId="0" borderId="27" xfId="0" applyNumberFormat="1" applyFont="1" applyBorder="1" applyAlignment="1">
      <alignment horizontal="right" vertical="center"/>
    </xf>
    <xf numFmtId="196" fontId="27" fillId="0" borderId="26" xfId="4" applyNumberFormat="1" applyFont="1" applyBorder="1" applyAlignment="1" applyProtection="1">
      <alignment horizontal="right" vertical="center"/>
    </xf>
    <xf numFmtId="0" fontId="27" fillId="0" borderId="26" xfId="4" applyNumberFormat="1" applyFont="1" applyBorder="1" applyAlignment="1" applyProtection="1">
      <alignment horizontal="right" vertical="center"/>
    </xf>
    <xf numFmtId="196" fontId="27" fillId="0" borderId="27" xfId="4" applyNumberFormat="1" applyFont="1" applyBorder="1" applyAlignment="1" applyProtection="1">
      <alignment horizontal="right" vertical="center"/>
    </xf>
    <xf numFmtId="0" fontId="27" fillId="0" borderId="27" xfId="3" applyFont="1" applyBorder="1" applyAlignment="1">
      <alignment horizontal="center" vertical="center"/>
    </xf>
    <xf numFmtId="196" fontId="27" fillId="0" borderId="27" xfId="0" applyNumberFormat="1" applyFont="1" applyBorder="1" applyAlignment="1">
      <alignment horizontal="right" vertical="center" shrinkToFit="1"/>
    </xf>
    <xf numFmtId="0" fontId="29" fillId="0" borderId="27" xfId="3" applyFont="1" applyBorder="1" applyAlignment="1">
      <alignment horizontal="center" vertical="center"/>
    </xf>
    <xf numFmtId="38" fontId="29" fillId="0" borderId="27" xfId="1" applyFont="1" applyBorder="1" applyAlignment="1" applyProtection="1">
      <alignment horizontal="right" vertical="center"/>
    </xf>
    <xf numFmtId="3" fontId="29" fillId="0" borderId="27" xfId="0" applyNumberFormat="1" applyFont="1" applyBorder="1" applyAlignment="1">
      <alignment horizontal="right" vertical="center"/>
    </xf>
    <xf numFmtId="180" fontId="29" fillId="0" borderId="27" xfId="0" applyNumberFormat="1" applyFont="1" applyBorder="1" applyAlignment="1">
      <alignment horizontal="right" vertical="center"/>
    </xf>
    <xf numFmtId="192" fontId="29" fillId="0" borderId="27" xfId="0" applyNumberFormat="1" applyFont="1" applyBorder="1" applyAlignment="1">
      <alignment vertical="center"/>
    </xf>
    <xf numFmtId="0" fontId="30" fillId="0" borderId="31" xfId="0" applyFont="1" applyBorder="1" applyAlignment="1">
      <alignment vertical="top"/>
    </xf>
    <xf numFmtId="196" fontId="29" fillId="0" borderId="29" xfId="0" applyNumberFormat="1" applyFont="1" applyBorder="1" applyAlignment="1">
      <alignment horizontal="right" vertical="center"/>
    </xf>
    <xf numFmtId="196" fontId="29" fillId="0" borderId="31" xfId="0" applyNumberFormat="1" applyFont="1" applyBorder="1" applyAlignment="1">
      <alignment horizontal="right" vertical="center" shrinkToFit="1"/>
    </xf>
    <xf numFmtId="196" fontId="29" fillId="0" borderId="31" xfId="0" applyNumberFormat="1" applyFont="1" applyBorder="1" applyAlignment="1">
      <alignment horizontal="right" vertical="center"/>
    </xf>
    <xf numFmtId="0" fontId="26" fillId="0" borderId="0" xfId="0" applyFont="1" applyAlignment="1">
      <alignment vertical="center"/>
    </xf>
    <xf numFmtId="0" fontId="26" fillId="0" borderId="44" xfId="0" applyFont="1" applyBorder="1" applyAlignment="1">
      <alignment horizontal="right" vertical="center"/>
    </xf>
    <xf numFmtId="0" fontId="26" fillId="0" borderId="0" xfId="0" applyFont="1" applyAlignment="1">
      <alignment horizontal="left" vertical="center"/>
    </xf>
    <xf numFmtId="0" fontId="26" fillId="0" borderId="0" xfId="0" applyFont="1" applyAlignment="1">
      <alignment horizontal="right" vertical="center"/>
    </xf>
    <xf numFmtId="0" fontId="32" fillId="0" borderId="0" xfId="0" applyFont="1" applyAlignment="1">
      <alignment vertical="center"/>
    </xf>
    <xf numFmtId="0" fontId="25" fillId="0" borderId="0" xfId="0" applyFont="1"/>
    <xf numFmtId="0" fontId="24" fillId="0" borderId="0" xfId="0" applyFont="1" applyAlignment="1">
      <alignment vertical="center"/>
    </xf>
    <xf numFmtId="0" fontId="26" fillId="0" borderId="23" xfId="0" applyFont="1" applyBorder="1" applyAlignment="1">
      <alignment horizontal="right" vertical="center"/>
    </xf>
    <xf numFmtId="0" fontId="27" fillId="0" borderId="23" xfId="0" applyFont="1" applyBorder="1" applyAlignment="1">
      <alignment vertical="center"/>
    </xf>
    <xf numFmtId="0" fontId="27" fillId="0" borderId="47" xfId="0" applyFont="1" applyBorder="1" applyAlignment="1">
      <alignment vertical="center"/>
    </xf>
    <xf numFmtId="0" fontId="27" fillId="0" borderId="35" xfId="0" applyFont="1" applyBorder="1" applyAlignment="1">
      <alignment vertical="center"/>
    </xf>
    <xf numFmtId="0" fontId="26" fillId="0" borderId="27" xfId="0" applyFont="1" applyBorder="1" applyAlignment="1">
      <alignment horizontal="left" vertical="center"/>
    </xf>
    <xf numFmtId="0" fontId="28" fillId="0" borderId="48" xfId="0" applyFont="1" applyBorder="1" applyAlignment="1">
      <alignment horizontal="left" vertical="center"/>
    </xf>
    <xf numFmtId="0" fontId="27" fillId="0" borderId="42" xfId="0" applyFont="1" applyBorder="1" applyAlignment="1">
      <alignment horizontal="center" vertical="center"/>
    </xf>
    <xf numFmtId="0" fontId="26" fillId="0" borderId="31" xfId="0" applyFont="1" applyBorder="1" applyAlignment="1">
      <alignment horizontal="left" vertical="center"/>
    </xf>
    <xf numFmtId="0" fontId="27" fillId="0" borderId="31" xfId="0" applyFont="1" applyBorder="1" applyAlignment="1">
      <alignment vertical="center"/>
    </xf>
    <xf numFmtId="0" fontId="27" fillId="0" borderId="49" xfId="0" applyFont="1" applyBorder="1" applyAlignment="1">
      <alignment vertical="center"/>
    </xf>
    <xf numFmtId="0" fontId="27" fillId="0" borderId="34" xfId="0" applyFont="1" applyBorder="1" applyAlignment="1">
      <alignment vertical="center"/>
    </xf>
    <xf numFmtId="38" fontId="27" fillId="0" borderId="26" xfId="1" applyFont="1" applyBorder="1" applyAlignment="1" applyProtection="1">
      <alignment horizontal="right" vertical="center"/>
    </xf>
    <xf numFmtId="38" fontId="27" fillId="0" borderId="10" xfId="1" applyFont="1" applyBorder="1" applyAlignment="1" applyProtection="1">
      <alignment horizontal="right" vertical="center"/>
    </xf>
    <xf numFmtId="38" fontId="27" fillId="0" borderId="42" xfId="1" applyFont="1" applyBorder="1" applyAlignment="1" applyProtection="1">
      <alignment horizontal="right" vertical="center"/>
    </xf>
    <xf numFmtId="38" fontId="27" fillId="0" borderId="48" xfId="1" applyFont="1" applyBorder="1" applyAlignment="1" applyProtection="1">
      <alignment horizontal="right" vertical="center"/>
    </xf>
    <xf numFmtId="0" fontId="27" fillId="0" borderId="26" xfId="3" applyFont="1" applyBorder="1" applyAlignment="1">
      <alignment horizontal="center" vertical="center" shrinkToFit="1"/>
    </xf>
    <xf numFmtId="0" fontId="29" fillId="0" borderId="29" xfId="3" applyFont="1" applyBorder="1" applyAlignment="1">
      <alignment horizontal="center" vertical="center" shrinkToFit="1"/>
    </xf>
    <xf numFmtId="38" fontId="29" fillId="0" borderId="31" xfId="1" applyFont="1" applyBorder="1" applyAlignment="1" applyProtection="1">
      <alignment horizontal="right" vertical="center"/>
    </xf>
    <xf numFmtId="38" fontId="29" fillId="0" borderId="29" xfId="1" applyFont="1" applyBorder="1" applyAlignment="1" applyProtection="1">
      <alignment horizontal="right" vertical="center"/>
    </xf>
    <xf numFmtId="38" fontId="29" fillId="0" borderId="50" xfId="1" applyFont="1" applyBorder="1" applyAlignment="1" applyProtection="1">
      <alignment horizontal="right" vertical="center"/>
    </xf>
    <xf numFmtId="38" fontId="29" fillId="0" borderId="34" xfId="1" applyFont="1" applyBorder="1" applyAlignment="1" applyProtection="1">
      <alignment horizontal="right" vertical="center"/>
    </xf>
    <xf numFmtId="38" fontId="29" fillId="0" borderId="49" xfId="1" applyFont="1" applyBorder="1" applyAlignment="1" applyProtection="1">
      <alignment horizontal="right" vertical="center"/>
    </xf>
    <xf numFmtId="193" fontId="26" fillId="0" borderId="0" xfId="0" applyNumberFormat="1" applyFont="1" applyAlignment="1">
      <alignment vertical="center"/>
    </xf>
    <xf numFmtId="0" fontId="26" fillId="0" borderId="0" xfId="0" applyFont="1" applyAlignment="1">
      <alignment horizontal="center" vertical="center"/>
    </xf>
    <xf numFmtId="0" fontId="27" fillId="0" borderId="22" xfId="0" applyFont="1" applyBorder="1" applyAlignment="1">
      <alignment vertical="center"/>
    </xf>
    <xf numFmtId="0" fontId="27" fillId="0" borderId="51" xfId="0" applyFont="1" applyBorder="1" applyAlignment="1">
      <alignment vertical="center"/>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11" xfId="0" applyFont="1" applyBorder="1" applyAlignment="1">
      <alignment horizontal="center" vertical="center"/>
    </xf>
    <xf numFmtId="0" fontId="27" fillId="0" borderId="29" xfId="0" applyFont="1" applyBorder="1" applyAlignment="1">
      <alignment vertical="center"/>
    </xf>
    <xf numFmtId="0" fontId="27" fillId="0" borderId="52" xfId="0" applyFont="1" applyBorder="1" applyAlignment="1">
      <alignment vertical="center"/>
    </xf>
    <xf numFmtId="38" fontId="27" fillId="0" borderId="27" xfId="2" applyFont="1" applyBorder="1" applyAlignment="1" applyProtection="1">
      <alignment vertical="center"/>
    </xf>
    <xf numFmtId="38" fontId="27" fillId="0" borderId="27" xfId="2" applyFont="1" applyBorder="1" applyAlignment="1" applyProtection="1">
      <alignment horizontal="right" vertical="center"/>
    </xf>
    <xf numFmtId="38" fontId="27" fillId="0" borderId="26" xfId="2" applyFont="1" applyBorder="1" applyAlignment="1" applyProtection="1">
      <alignment horizontal="right" vertical="center"/>
    </xf>
    <xf numFmtId="38" fontId="27" fillId="0" borderId="11" xfId="2" applyFont="1" applyBorder="1" applyAlignment="1" applyProtection="1">
      <alignment horizontal="right" vertical="center"/>
    </xf>
    <xf numFmtId="0" fontId="27" fillId="0" borderId="26" xfId="3" applyFont="1" applyBorder="1" applyAlignment="1">
      <alignment horizontal="center" vertical="center"/>
    </xf>
    <xf numFmtId="0" fontId="29" fillId="0" borderId="29" xfId="3" applyFont="1" applyBorder="1" applyAlignment="1">
      <alignment horizontal="center" vertical="center"/>
    </xf>
    <xf numFmtId="38" fontId="29" fillId="0" borderId="31" xfId="2" applyFont="1" applyBorder="1" applyAlignment="1" applyProtection="1">
      <alignment vertical="center"/>
    </xf>
    <xf numFmtId="38" fontId="29" fillId="0" borderId="31" xfId="2" applyFont="1" applyBorder="1" applyAlignment="1" applyProtection="1">
      <alignment horizontal="right" vertical="center"/>
    </xf>
    <xf numFmtId="38" fontId="29" fillId="0" borderId="29" xfId="2" applyFont="1" applyBorder="1" applyAlignment="1" applyProtection="1">
      <alignment horizontal="right" vertical="center"/>
    </xf>
    <xf numFmtId="38" fontId="29" fillId="0" borderId="52" xfId="2" applyFont="1" applyBorder="1" applyAlignment="1" applyProtection="1">
      <alignment horizontal="right" vertical="center"/>
    </xf>
    <xf numFmtId="0" fontId="26" fillId="0" borderId="0" xfId="0" applyFont="1"/>
    <xf numFmtId="0" fontId="25" fillId="0" borderId="0" xfId="0" applyFont="1" applyAlignment="1">
      <alignment vertical="center"/>
    </xf>
    <xf numFmtId="0" fontId="27" fillId="0" borderId="53" xfId="0" applyFont="1" applyBorder="1" applyAlignment="1">
      <alignment horizontal="center" vertical="center"/>
    </xf>
    <xf numFmtId="0" fontId="27" fillId="0" borderId="35" xfId="0" applyFont="1" applyBorder="1" applyAlignment="1">
      <alignment horizontal="center" vertical="center"/>
    </xf>
    <xf numFmtId="0" fontId="27" fillId="0" borderId="23" xfId="0" applyFont="1" applyBorder="1" applyAlignment="1">
      <alignment horizontal="center" vertical="center"/>
    </xf>
    <xf numFmtId="0" fontId="27" fillId="0" borderId="51" xfId="0" applyFont="1" applyBorder="1" applyAlignment="1">
      <alignment horizontal="center" vertical="center"/>
    </xf>
    <xf numFmtId="0" fontId="28" fillId="0" borderId="26" xfId="0" applyFont="1" applyBorder="1" applyAlignment="1">
      <alignment horizontal="left" vertical="center" shrinkToFit="1"/>
    </xf>
    <xf numFmtId="0" fontId="28" fillId="0" borderId="29" xfId="0" applyFont="1" applyBorder="1" applyAlignment="1">
      <alignment horizontal="left" vertical="center" shrinkToFit="1"/>
    </xf>
    <xf numFmtId="0" fontId="27" fillId="0" borderId="34" xfId="0" applyFont="1" applyBorder="1" applyAlignment="1">
      <alignment horizontal="center" vertical="center"/>
    </xf>
    <xf numFmtId="0" fontId="27" fillId="0" borderId="52" xfId="0" applyFont="1" applyBorder="1" applyAlignment="1">
      <alignment horizontal="center" vertical="center"/>
    </xf>
    <xf numFmtId="3" fontId="26" fillId="0" borderId="27" xfId="0" applyNumberFormat="1" applyFont="1" applyBorder="1" applyAlignment="1">
      <alignment horizontal="center" vertical="center"/>
    </xf>
    <xf numFmtId="3" fontId="27" fillId="0" borderId="11" xfId="0" applyNumberFormat="1" applyFont="1" applyBorder="1" applyAlignment="1">
      <alignment horizontal="right" vertical="center"/>
    </xf>
    <xf numFmtId="3" fontId="29" fillId="0" borderId="31" xfId="0" applyNumberFormat="1" applyFont="1" applyBorder="1" applyAlignment="1">
      <alignment horizontal="right" vertical="center"/>
    </xf>
    <xf numFmtId="3" fontId="29" fillId="0" borderId="52" xfId="0" applyNumberFormat="1" applyFont="1" applyBorder="1" applyAlignment="1">
      <alignment horizontal="right" vertical="center"/>
    </xf>
    <xf numFmtId="0" fontId="26" fillId="0" borderId="0" xfId="0" applyFont="1" applyAlignment="1">
      <alignment horizontal="right"/>
    </xf>
    <xf numFmtId="0" fontId="33" fillId="0" borderId="23" xfId="0" applyFont="1" applyBorder="1" applyAlignment="1">
      <alignment horizontal="right" vertical="center"/>
    </xf>
    <xf numFmtId="0" fontId="33" fillId="0" borderId="46" xfId="0" applyFont="1" applyBorder="1" applyAlignment="1">
      <alignment vertical="center"/>
    </xf>
    <xf numFmtId="0" fontId="33" fillId="0" borderId="23" xfId="0" applyFont="1" applyBorder="1" applyAlignment="1">
      <alignment horizontal="distributed" vertical="center"/>
    </xf>
    <xf numFmtId="0" fontId="33" fillId="0" borderId="27" xfId="0" applyFont="1" applyBorder="1" applyAlignment="1">
      <alignment horizontal="left" vertical="center"/>
    </xf>
    <xf numFmtId="0" fontId="33" fillId="0" borderId="27" xfId="0" applyFont="1" applyBorder="1" applyAlignment="1">
      <alignment horizontal="center" vertical="center"/>
    </xf>
    <xf numFmtId="0" fontId="33" fillId="0" borderId="31" xfId="0" applyFont="1" applyBorder="1" applyAlignment="1">
      <alignment horizontal="left" vertical="center"/>
    </xf>
    <xf numFmtId="0" fontId="33" fillId="0" borderId="31" xfId="0" applyFont="1" applyBorder="1" applyAlignment="1">
      <alignment horizontal="distributed" vertical="center"/>
    </xf>
    <xf numFmtId="0" fontId="34" fillId="0" borderId="27" xfId="0" applyFont="1" applyBorder="1" applyAlignment="1">
      <alignment horizontal="center" vertical="center"/>
    </xf>
    <xf numFmtId="38" fontId="33" fillId="0" borderId="26" xfId="2" applyFont="1" applyBorder="1" applyAlignment="1" applyProtection="1">
      <alignment horizontal="right" vertical="center"/>
    </xf>
    <xf numFmtId="181" fontId="33" fillId="0" borderId="26" xfId="2" applyNumberFormat="1" applyFont="1" applyBorder="1" applyAlignment="1" applyProtection="1">
      <alignment horizontal="right" vertical="center"/>
    </xf>
    <xf numFmtId="38" fontId="33" fillId="0" borderId="12" xfId="2" applyFont="1" applyBorder="1" applyAlignment="1" applyProtection="1">
      <alignment horizontal="right" vertical="center"/>
    </xf>
    <xf numFmtId="38" fontId="33" fillId="0" borderId="11" xfId="2" applyFont="1" applyBorder="1" applyAlignment="1" applyProtection="1">
      <alignment horizontal="right" vertical="center"/>
    </xf>
    <xf numFmtId="38" fontId="33" fillId="0" borderId="27" xfId="2" applyFont="1" applyBorder="1" applyAlignment="1" applyProtection="1">
      <alignment horizontal="right" vertical="center"/>
    </xf>
    <xf numFmtId="0" fontId="33" fillId="0" borderId="26" xfId="3" applyFont="1" applyBorder="1" applyAlignment="1">
      <alignment horizontal="center" vertical="center"/>
    </xf>
    <xf numFmtId="181" fontId="33" fillId="0" borderId="27" xfId="2" applyNumberFormat="1" applyFont="1" applyBorder="1" applyAlignment="1" applyProtection="1">
      <alignment horizontal="right" vertical="center"/>
    </xf>
    <xf numFmtId="38" fontId="33" fillId="0" borderId="10" xfId="2" applyFont="1" applyBorder="1" applyAlignment="1" applyProtection="1">
      <alignment horizontal="right" vertical="center"/>
    </xf>
    <xf numFmtId="38" fontId="33" fillId="0" borderId="42" xfId="2" applyFont="1" applyBorder="1" applyAlignment="1" applyProtection="1">
      <alignment horizontal="right" vertical="center"/>
    </xf>
    <xf numFmtId="0" fontId="24" fillId="0" borderId="29" xfId="3" applyFont="1" applyBorder="1" applyAlignment="1">
      <alignment horizontal="center" vertical="center"/>
    </xf>
    <xf numFmtId="38" fontId="24" fillId="0" borderId="31" xfId="2" applyFont="1" applyBorder="1" applyAlignment="1" applyProtection="1">
      <alignment horizontal="right" vertical="center"/>
    </xf>
    <xf numFmtId="181" fontId="24" fillId="0" borderId="31" xfId="2" applyNumberFormat="1" applyFont="1" applyBorder="1" applyAlignment="1" applyProtection="1">
      <alignment horizontal="right" vertical="center"/>
    </xf>
    <xf numFmtId="181" fontId="24" fillId="0" borderId="29" xfId="2" applyNumberFormat="1" applyFont="1" applyBorder="1" applyAlignment="1" applyProtection="1">
      <alignment horizontal="right" vertical="center"/>
    </xf>
    <xf numFmtId="38" fontId="24" fillId="0" borderId="50" xfId="2" applyFont="1" applyBorder="1" applyAlignment="1" applyProtection="1">
      <alignment horizontal="right" vertical="center"/>
    </xf>
    <xf numFmtId="38" fontId="24" fillId="0" borderId="34" xfId="2" applyFont="1" applyBorder="1" applyAlignment="1" applyProtection="1">
      <alignment horizontal="right" vertical="center"/>
    </xf>
    <xf numFmtId="187" fontId="26" fillId="0" borderId="0" xfId="0" applyNumberFormat="1" applyFont="1" applyAlignment="1">
      <alignment vertical="center"/>
    </xf>
    <xf numFmtId="0" fontId="35" fillId="0" borderId="23" xfId="0" applyFont="1" applyBorder="1" applyAlignment="1">
      <alignment horizontal="right" vertical="center"/>
    </xf>
    <xf numFmtId="0" fontId="35" fillId="0" borderId="53" xfId="0" applyFont="1" applyBorder="1" applyAlignment="1">
      <alignment horizontal="center" vertical="center"/>
    </xf>
    <xf numFmtId="0" fontId="35" fillId="0" borderId="46" xfId="0" applyFont="1" applyBorder="1" applyAlignment="1">
      <alignment horizontal="center" vertical="center"/>
    </xf>
    <xf numFmtId="0" fontId="35" fillId="0" borderId="27" xfId="0" applyFont="1" applyBorder="1" applyAlignment="1">
      <alignment horizontal="left" vertical="center"/>
    </xf>
    <xf numFmtId="0" fontId="27" fillId="0" borderId="27" xfId="0" applyFont="1" applyBorder="1" applyAlignment="1">
      <alignment horizontal="center"/>
    </xf>
    <xf numFmtId="0" fontId="35" fillId="0" borderId="31" xfId="0" applyFont="1" applyBorder="1" applyAlignment="1">
      <alignment horizontal="left" vertical="center"/>
    </xf>
    <xf numFmtId="0" fontId="27" fillId="0" borderId="31" xfId="0" applyFont="1" applyBorder="1" applyAlignment="1">
      <alignment horizontal="center" vertical="top"/>
    </xf>
    <xf numFmtId="38" fontId="35" fillId="0" borderId="26" xfId="2" applyFont="1" applyBorder="1" applyAlignment="1" applyProtection="1">
      <alignment horizontal="right" vertical="center"/>
    </xf>
    <xf numFmtId="38" fontId="35" fillId="0" borderId="11" xfId="2" applyFont="1" applyBorder="1" applyAlignment="1" applyProtection="1">
      <alignment horizontal="right" vertical="center"/>
    </xf>
    <xf numFmtId="0" fontId="35" fillId="0" borderId="26" xfId="3" applyFont="1" applyBorder="1" applyAlignment="1">
      <alignment horizontal="center" vertical="center"/>
    </xf>
    <xf numFmtId="38" fontId="35" fillId="0" borderId="27" xfId="2" applyFont="1" applyBorder="1" applyAlignment="1" applyProtection="1">
      <alignment horizontal="right" vertical="center"/>
    </xf>
    <xf numFmtId="0" fontId="36" fillId="0" borderId="29" xfId="3" applyFont="1" applyBorder="1" applyAlignment="1">
      <alignment horizontal="center" vertical="center"/>
    </xf>
    <xf numFmtId="38" fontId="36" fillId="0" borderId="31" xfId="2" applyFont="1" applyBorder="1" applyAlignment="1" applyProtection="1">
      <alignment horizontal="right" vertical="center"/>
    </xf>
    <xf numFmtId="38" fontId="36" fillId="0" borderId="29" xfId="2" applyFont="1" applyBorder="1" applyAlignment="1" applyProtection="1">
      <alignment horizontal="right" vertical="center"/>
    </xf>
    <xf numFmtId="38" fontId="36" fillId="0" borderId="52" xfId="2" applyFont="1" applyBorder="1" applyAlignment="1" applyProtection="1">
      <alignment horizontal="right" vertical="center"/>
    </xf>
    <xf numFmtId="0" fontId="37" fillId="0" borderId="0" xfId="0" applyFont="1" applyAlignment="1">
      <alignment vertical="center"/>
    </xf>
    <xf numFmtId="0" fontId="27" fillId="0" borderId="22" xfId="0" applyFont="1" applyBorder="1" applyAlignment="1">
      <alignment horizontal="center" vertical="center"/>
    </xf>
    <xf numFmtId="0" fontId="27" fillId="0" borderId="23" xfId="0" applyFont="1" applyBorder="1" applyAlignment="1">
      <alignment horizontal="distributed" vertical="center"/>
    </xf>
    <xf numFmtId="0" fontId="27" fillId="0" borderId="0" xfId="0" applyFont="1" applyAlignment="1">
      <alignment horizontal="center" vertical="center"/>
    </xf>
    <xf numFmtId="0" fontId="27" fillId="0" borderId="29" xfId="0" applyFont="1" applyBorder="1" applyAlignment="1">
      <alignment horizontal="center" vertical="center"/>
    </xf>
    <xf numFmtId="0" fontId="27" fillId="0" borderId="31" xfId="0" applyFont="1" applyBorder="1" applyAlignment="1">
      <alignment horizontal="distributed" vertical="center"/>
    </xf>
    <xf numFmtId="187" fontId="38" fillId="0" borderId="26" xfId="2" applyNumberFormat="1" applyFont="1" applyBorder="1" applyAlignment="1" applyProtection="1">
      <alignment vertical="center"/>
    </xf>
    <xf numFmtId="187" fontId="38" fillId="0" borderId="11" xfId="2" applyNumberFormat="1" applyFont="1" applyBorder="1" applyAlignment="1" applyProtection="1">
      <alignment vertical="center"/>
    </xf>
    <xf numFmtId="187" fontId="38" fillId="0" borderId="27" xfId="2" applyNumberFormat="1" applyFont="1" applyBorder="1" applyAlignment="1" applyProtection="1">
      <alignment vertical="center"/>
    </xf>
    <xf numFmtId="187" fontId="38" fillId="0" borderId="27" xfId="2" applyNumberFormat="1" applyFont="1" applyBorder="1" applyAlignment="1" applyProtection="1">
      <alignment horizontal="right" vertical="center"/>
    </xf>
    <xf numFmtId="187" fontId="38" fillId="0" borderId="10" xfId="2" applyNumberFormat="1" applyFont="1" applyBorder="1" applyAlignment="1" applyProtection="1">
      <alignment vertical="center"/>
    </xf>
    <xf numFmtId="187" fontId="38" fillId="0" borderId="42" xfId="2" applyNumberFormat="1" applyFont="1" applyBorder="1" applyAlignment="1" applyProtection="1">
      <alignment vertical="center"/>
    </xf>
    <xf numFmtId="0" fontId="35" fillId="0" borderId="27" xfId="0" applyFont="1" applyBorder="1" applyAlignment="1">
      <alignment horizontal="center" vertical="center"/>
    </xf>
    <xf numFmtId="0" fontId="36" fillId="0" borderId="31" xfId="0" applyFont="1" applyBorder="1" applyAlignment="1">
      <alignment horizontal="center" vertical="center"/>
    </xf>
    <xf numFmtId="187" fontId="39" fillId="0" borderId="29" xfId="2" applyNumberFormat="1" applyFont="1" applyBorder="1" applyAlignment="1" applyProtection="1">
      <alignment vertical="center"/>
    </xf>
    <xf numFmtId="187" fontId="39" fillId="0" borderId="52" xfId="2" applyNumberFormat="1" applyFont="1" applyBorder="1" applyAlignment="1" applyProtection="1">
      <alignment vertical="center"/>
    </xf>
    <xf numFmtId="187" fontId="39" fillId="0" borderId="31" xfId="2" applyNumberFormat="1" applyFont="1" applyBorder="1" applyAlignment="1" applyProtection="1">
      <alignment vertical="center"/>
    </xf>
    <xf numFmtId="187" fontId="39" fillId="0" borderId="31" xfId="2" applyNumberFormat="1" applyFont="1" applyBorder="1" applyAlignment="1" applyProtection="1">
      <alignment horizontal="right" vertical="center"/>
    </xf>
    <xf numFmtId="187" fontId="39" fillId="0" borderId="50" xfId="2" applyNumberFormat="1" applyFont="1" applyBorder="1" applyAlignment="1" applyProtection="1">
      <alignment vertical="center"/>
    </xf>
    <xf numFmtId="187" fontId="39" fillId="0" borderId="34" xfId="2" applyNumberFormat="1" applyFont="1" applyBorder="1" applyAlignment="1" applyProtection="1">
      <alignment vertical="center"/>
    </xf>
    <xf numFmtId="187" fontId="35" fillId="0" borderId="27" xfId="0" applyNumberFormat="1" applyFont="1" applyBorder="1" applyAlignment="1">
      <alignment vertical="center"/>
    </xf>
    <xf numFmtId="187" fontId="33" fillId="0" borderId="27" xfId="0" applyNumberFormat="1" applyFont="1" applyBorder="1" applyAlignment="1">
      <alignment horizontal="right" vertical="center"/>
    </xf>
    <xf numFmtId="187" fontId="35" fillId="0" borderId="26" xfId="0" applyNumberFormat="1" applyFont="1" applyBorder="1" applyAlignment="1">
      <alignment vertical="center"/>
    </xf>
    <xf numFmtId="187" fontId="35" fillId="0" borderId="11" xfId="0" applyNumberFormat="1" applyFont="1" applyBorder="1" applyAlignment="1">
      <alignment vertical="center"/>
    </xf>
    <xf numFmtId="187" fontId="33" fillId="0" borderId="27" xfId="2" applyNumberFormat="1" applyFont="1" applyBorder="1" applyAlignment="1" applyProtection="1">
      <alignment horizontal="right" vertical="center"/>
    </xf>
    <xf numFmtId="187" fontId="36" fillId="0" borderId="31" xfId="0" applyNumberFormat="1" applyFont="1" applyBorder="1" applyAlignment="1">
      <alignment vertical="center"/>
    </xf>
    <xf numFmtId="187" fontId="24" fillId="0" borderId="31" xfId="2" applyNumberFormat="1" applyFont="1" applyBorder="1" applyAlignment="1" applyProtection="1">
      <alignment horizontal="right" vertical="center"/>
    </xf>
    <xf numFmtId="187" fontId="36" fillId="0" borderId="29" xfId="0" applyNumberFormat="1" applyFont="1" applyBorder="1" applyAlignment="1">
      <alignment vertical="center"/>
    </xf>
    <xf numFmtId="187" fontId="36" fillId="0" borderId="52" xfId="0" applyNumberFormat="1" applyFont="1" applyBorder="1" applyAlignment="1">
      <alignment vertical="center"/>
    </xf>
    <xf numFmtId="0" fontId="34" fillId="0" borderId="23" xfId="0" applyFont="1" applyBorder="1" applyAlignment="1">
      <alignment horizontal="right" vertical="center"/>
    </xf>
    <xf numFmtId="0" fontId="34" fillId="0" borderId="46" xfId="0" applyFont="1" applyBorder="1" applyAlignment="1">
      <alignment vertical="center"/>
    </xf>
    <xf numFmtId="0" fontId="34" fillId="0" borderId="22" xfId="0" applyFont="1" applyBorder="1" applyAlignment="1">
      <alignment horizontal="center" vertical="center"/>
    </xf>
    <xf numFmtId="0" fontId="34" fillId="0" borderId="23" xfId="0" applyFont="1" applyBorder="1" applyAlignment="1">
      <alignment horizontal="distributed" vertical="center"/>
    </xf>
    <xf numFmtId="0" fontId="34" fillId="0" borderId="56" xfId="0" applyFont="1" applyBorder="1" applyAlignment="1">
      <alignment horizontal="distributed" vertical="center"/>
    </xf>
    <xf numFmtId="0" fontId="34" fillId="0" borderId="27" xfId="0" applyFont="1" applyBorder="1" applyAlignment="1">
      <alignment horizontal="left"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31" xfId="0" applyFont="1" applyBorder="1" applyAlignment="1">
      <alignment horizontal="left" vertical="center"/>
    </xf>
    <xf numFmtId="0" fontId="34" fillId="0" borderId="31" xfId="0" applyFont="1" applyBorder="1" applyAlignment="1">
      <alignment horizontal="center" vertical="top"/>
    </xf>
    <xf numFmtId="0" fontId="34" fillId="0" borderId="31" xfId="0" applyFont="1" applyBorder="1" applyAlignment="1">
      <alignment horizontal="distributed" vertical="center"/>
    </xf>
    <xf numFmtId="0" fontId="34" fillId="0" borderId="50" xfId="0" applyFont="1" applyBorder="1" applyAlignment="1">
      <alignment horizontal="distributed" vertical="center"/>
    </xf>
    <xf numFmtId="187" fontId="33" fillId="0" borderId="26" xfId="0" applyNumberFormat="1" applyFont="1" applyBorder="1" applyAlignment="1">
      <alignment horizontal="right" vertical="center"/>
    </xf>
    <xf numFmtId="187" fontId="33" fillId="0" borderId="10" xfId="0" applyNumberFormat="1" applyFont="1" applyBorder="1" applyAlignment="1">
      <alignment horizontal="right" vertical="center"/>
    </xf>
    <xf numFmtId="187" fontId="33" fillId="0" borderId="42" xfId="0" applyNumberFormat="1" applyFont="1" applyBorder="1" applyAlignment="1">
      <alignment horizontal="right" vertical="center"/>
    </xf>
    <xf numFmtId="0" fontId="24" fillId="0" borderId="31" xfId="0" applyFont="1" applyBorder="1" applyAlignment="1">
      <alignment horizontal="center" vertical="center"/>
    </xf>
    <xf numFmtId="187" fontId="24" fillId="0" borderId="31" xfId="0" applyNumberFormat="1" applyFont="1" applyBorder="1" applyAlignment="1">
      <alignment horizontal="right" vertical="center"/>
    </xf>
    <xf numFmtId="187" fontId="24" fillId="0" borderId="29" xfId="0" applyNumberFormat="1" applyFont="1" applyBorder="1" applyAlignment="1">
      <alignment horizontal="right" vertical="center"/>
    </xf>
    <xf numFmtId="187" fontId="24" fillId="0" borderId="50" xfId="0" applyNumberFormat="1" applyFont="1" applyBorder="1" applyAlignment="1">
      <alignment horizontal="right" vertical="center"/>
    </xf>
    <xf numFmtId="187" fontId="24" fillId="0" borderId="34" xfId="0" applyNumberFormat="1" applyFont="1" applyBorder="1" applyAlignment="1">
      <alignment horizontal="right" vertical="center"/>
    </xf>
    <xf numFmtId="0" fontId="27" fillId="0" borderId="0" xfId="0" applyFont="1" applyAlignment="1">
      <alignment horizontal="right" vertical="center"/>
    </xf>
    <xf numFmtId="0" fontId="34" fillId="0" borderId="23" xfId="0" applyFont="1" applyBorder="1" applyAlignment="1">
      <alignment horizontal="center" vertical="center"/>
    </xf>
    <xf numFmtId="0" fontId="34" fillId="0" borderId="23" xfId="0" applyFont="1" applyBorder="1" applyAlignment="1">
      <alignment horizontal="center"/>
    </xf>
    <xf numFmtId="0" fontId="34" fillId="0" borderId="22" xfId="0" applyFont="1" applyBorder="1" applyAlignment="1">
      <alignment horizontal="center"/>
    </xf>
    <xf numFmtId="0" fontId="34" fillId="0" borderId="35" xfId="0" applyFont="1" applyBorder="1" applyAlignment="1">
      <alignment horizontal="distributed" vertical="center"/>
    </xf>
    <xf numFmtId="0" fontId="34" fillId="0" borderId="42" xfId="0" applyFont="1" applyBorder="1" applyAlignment="1">
      <alignment horizontal="center" vertical="center"/>
    </xf>
    <xf numFmtId="0" fontId="34" fillId="0" borderId="26" xfId="0" applyFont="1" applyBorder="1" applyAlignment="1">
      <alignment horizontal="center" vertical="center"/>
    </xf>
    <xf numFmtId="0" fontId="34" fillId="0" borderId="31" xfId="0" applyFont="1" applyBorder="1" applyAlignment="1">
      <alignment horizontal="center" vertical="center"/>
    </xf>
    <xf numFmtId="0" fontId="34" fillId="0" borderId="29" xfId="0" applyFont="1" applyBorder="1" applyAlignment="1">
      <alignment horizontal="center" vertical="top"/>
    </xf>
    <xf numFmtId="0" fontId="34" fillId="0" borderId="34" xfId="0" applyFont="1" applyBorder="1" applyAlignment="1">
      <alignment horizontal="distributed" vertical="center"/>
    </xf>
    <xf numFmtId="176" fontId="33" fillId="0" borderId="27" xfId="0" applyNumberFormat="1" applyFont="1" applyBorder="1" applyAlignment="1">
      <alignment vertical="center"/>
    </xf>
    <xf numFmtId="176" fontId="33" fillId="0" borderId="26" xfId="0" applyNumberFormat="1" applyFont="1" applyBorder="1" applyAlignment="1">
      <alignment vertical="center"/>
    </xf>
    <xf numFmtId="176" fontId="33" fillId="0" borderId="11" xfId="0" applyNumberFormat="1" applyFont="1" applyBorder="1" applyAlignment="1">
      <alignment vertical="center"/>
    </xf>
    <xf numFmtId="176" fontId="24" fillId="0" borderId="31" xfId="0" applyNumberFormat="1" applyFont="1" applyBorder="1" applyAlignment="1">
      <alignment vertical="center"/>
    </xf>
    <xf numFmtId="176" fontId="24" fillId="0" borderId="29" xfId="0" applyNumberFormat="1" applyFont="1" applyBorder="1" applyAlignment="1">
      <alignment vertical="center"/>
    </xf>
    <xf numFmtId="176" fontId="24" fillId="0" borderId="52" xfId="0" applyNumberFormat="1" applyFont="1" applyBorder="1" applyAlignment="1">
      <alignment vertical="center"/>
    </xf>
    <xf numFmtId="187" fontId="12" fillId="0" borderId="0" xfId="0" applyNumberFormat="1" applyFont="1" applyAlignment="1">
      <alignment vertical="center"/>
    </xf>
    <xf numFmtId="187" fontId="4" fillId="0" borderId="0" xfId="0" applyNumberFormat="1" applyFont="1" applyAlignment="1">
      <alignment vertical="center"/>
    </xf>
    <xf numFmtId="0" fontId="4" fillId="0" borderId="22" xfId="0" applyFont="1" applyBorder="1" applyAlignment="1">
      <alignment vertical="center"/>
    </xf>
    <xf numFmtId="0" fontId="4" fillId="0" borderId="35" xfId="0" applyFont="1" applyBorder="1" applyAlignment="1">
      <alignment horizontal="right" vertic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9" xfId="0" applyFont="1" applyBorder="1" applyAlignment="1">
      <alignment vertical="center"/>
    </xf>
    <xf numFmtId="0" fontId="4" fillId="0" borderId="34" xfId="0" applyFont="1" applyBorder="1" applyAlignment="1">
      <alignment vertical="center"/>
    </xf>
    <xf numFmtId="0" fontId="6" fillId="0" borderId="31" xfId="0" applyFont="1" applyBorder="1" applyAlignment="1">
      <alignment horizontal="right" vertical="top"/>
    </xf>
    <xf numFmtId="0" fontId="4" fillId="0" borderId="31" xfId="0" applyFont="1" applyBorder="1" applyAlignment="1">
      <alignment horizontal="center" vertical="top"/>
    </xf>
    <xf numFmtId="187" fontId="4" fillId="0" borderId="26" xfId="1" applyNumberFormat="1" applyFont="1" applyBorder="1" applyAlignment="1" applyProtection="1">
      <alignment horizontal="left" vertical="center"/>
    </xf>
    <xf numFmtId="197" fontId="4" fillId="0" borderId="27" xfId="0" applyNumberFormat="1" applyFont="1" applyBorder="1" applyAlignment="1">
      <alignment horizontal="right" vertical="center"/>
    </xf>
    <xf numFmtId="187" fontId="10" fillId="0" borderId="26" xfId="1" applyNumberFormat="1" applyFont="1" applyBorder="1" applyAlignment="1" applyProtection="1">
      <alignment horizontal="left" vertical="center"/>
    </xf>
    <xf numFmtId="197" fontId="10" fillId="0" borderId="27" xfId="0" applyNumberFormat="1" applyFont="1" applyBorder="1" applyAlignment="1">
      <alignment horizontal="right" vertical="center"/>
    </xf>
    <xf numFmtId="0" fontId="4" fillId="0" borderId="26" xfId="0" applyFont="1" applyBorder="1" applyAlignment="1">
      <alignment vertical="center"/>
    </xf>
    <xf numFmtId="0" fontId="10" fillId="0" borderId="42" xfId="0" applyFont="1" applyBorder="1" applyAlignment="1">
      <alignment horizontal="center" vertical="center"/>
    </xf>
    <xf numFmtId="187" fontId="4" fillId="0" borderId="26" xfId="0" applyNumberFormat="1" applyFont="1" applyBorder="1" applyAlignment="1">
      <alignment horizontal="right" vertical="center"/>
    </xf>
    <xf numFmtId="197" fontId="10" fillId="0" borderId="26" xfId="0" applyNumberFormat="1" applyFont="1" applyBorder="1" applyAlignment="1">
      <alignment horizontal="right" vertical="center"/>
    </xf>
    <xf numFmtId="197" fontId="10" fillId="0" borderId="16" xfId="0" applyNumberFormat="1" applyFont="1" applyBorder="1" applyAlignment="1">
      <alignment horizontal="right" vertical="center"/>
    </xf>
    <xf numFmtId="187" fontId="4" fillId="0" borderId="13" xfId="1" applyNumberFormat="1" applyFont="1" applyBorder="1" applyAlignment="1" applyProtection="1">
      <alignment horizontal="right" vertical="center"/>
    </xf>
    <xf numFmtId="186" fontId="4" fillId="0" borderId="27" xfId="0" applyNumberFormat="1" applyFont="1" applyBorder="1" applyAlignment="1">
      <alignment horizontal="right" vertical="center"/>
    </xf>
    <xf numFmtId="0" fontId="4" fillId="0" borderId="42" xfId="0" applyFont="1" applyBorder="1" applyAlignment="1">
      <alignment horizontal="distributed" vertical="center"/>
    </xf>
    <xf numFmtId="187" fontId="4" fillId="0" borderId="42" xfId="1" applyNumberFormat="1" applyFont="1" applyBorder="1" applyAlignment="1" applyProtection="1">
      <alignment horizontal="right" vertical="center"/>
    </xf>
    <xf numFmtId="186" fontId="4" fillId="0" borderId="13" xfId="0" applyNumberFormat="1" applyFont="1" applyBorder="1" applyAlignment="1">
      <alignment horizontal="right" vertical="center"/>
    </xf>
    <xf numFmtId="0" fontId="4" fillId="0" borderId="42" xfId="0" applyFont="1" applyBorder="1" applyAlignment="1">
      <alignment horizontal="center" vertical="center"/>
    </xf>
    <xf numFmtId="187" fontId="4" fillId="0" borderId="27" xfId="1" applyNumberFormat="1" applyFont="1" applyBorder="1" applyAlignment="1" applyProtection="1">
      <alignment horizontal="right" vertical="center"/>
    </xf>
    <xf numFmtId="187" fontId="4" fillId="0" borderId="14" xfId="1" applyNumberFormat="1" applyFont="1" applyBorder="1" applyAlignment="1" applyProtection="1">
      <alignment horizontal="right" vertical="center"/>
    </xf>
    <xf numFmtId="187" fontId="4" fillId="0" borderId="16" xfId="1" applyNumberFormat="1" applyFont="1" applyBorder="1" applyAlignment="1" applyProtection="1">
      <alignment horizontal="right" vertical="center"/>
    </xf>
    <xf numFmtId="187" fontId="4" fillId="0" borderId="17" xfId="1" applyNumberFormat="1" applyFont="1" applyBorder="1" applyAlignment="1" applyProtection="1">
      <alignment horizontal="right" vertical="center"/>
    </xf>
    <xf numFmtId="186" fontId="4" fillId="0" borderId="16" xfId="0" applyNumberFormat="1" applyFont="1" applyBorder="1" applyAlignment="1">
      <alignment horizontal="right" vertical="center"/>
    </xf>
    <xf numFmtId="0" fontId="4" fillId="0" borderId="29" xfId="0" applyFont="1" applyBorder="1" applyAlignment="1">
      <alignment horizontal="distributed" vertical="center"/>
    </xf>
    <xf numFmtId="0" fontId="4" fillId="0" borderId="34" xfId="0" applyFont="1" applyBorder="1" applyAlignment="1">
      <alignment horizontal="distributed" vertical="center"/>
    </xf>
    <xf numFmtId="187" fontId="4" fillId="0" borderId="34" xfId="1" applyNumberFormat="1" applyFont="1" applyBorder="1" applyAlignment="1" applyProtection="1">
      <alignment horizontal="right" vertical="center"/>
    </xf>
    <xf numFmtId="0" fontId="4" fillId="0" borderId="44" xfId="0" applyFont="1" applyBorder="1" applyAlignment="1">
      <alignment horizontal="distributed" vertical="center"/>
    </xf>
    <xf numFmtId="187" fontId="4" fillId="0" borderId="44" xfId="1" applyNumberFormat="1" applyFont="1" applyBorder="1" applyAlignment="1" applyProtection="1">
      <alignment horizontal="right" vertical="center"/>
    </xf>
    <xf numFmtId="197" fontId="4" fillId="0" borderId="44" xfId="0" applyNumberFormat="1" applyFont="1" applyBorder="1" applyAlignment="1">
      <alignment vertical="center"/>
    </xf>
    <xf numFmtId="187" fontId="4" fillId="0" borderId="6" xfId="1" applyNumberFormat="1" applyFont="1" applyBorder="1" applyAlignment="1" applyProtection="1">
      <alignment horizontal="right" vertical="center"/>
    </xf>
    <xf numFmtId="197" fontId="4" fillId="0" borderId="6" xfId="0" applyNumberFormat="1" applyFont="1" applyBorder="1" applyAlignment="1">
      <alignment vertical="center"/>
    </xf>
    <xf numFmtId="198" fontId="4" fillId="0" borderId="27" xfId="0" applyNumberFormat="1" applyFont="1" applyBorder="1" applyAlignment="1">
      <alignment horizontal="right" vertical="center"/>
    </xf>
    <xf numFmtId="198" fontId="4" fillId="0" borderId="13" xfId="0" applyNumberFormat="1" applyFont="1" applyBorder="1" applyAlignment="1">
      <alignment horizontal="right" vertical="center"/>
    </xf>
    <xf numFmtId="0" fontId="4" fillId="0" borderId="29" xfId="0" applyFont="1" applyBorder="1" applyAlignment="1">
      <alignment horizontal="distributed"/>
    </xf>
    <xf numFmtId="0" fontId="4" fillId="0" borderId="34" xfId="0" applyFont="1" applyBorder="1" applyAlignment="1">
      <alignment horizontal="distributed"/>
    </xf>
    <xf numFmtId="187" fontId="4" fillId="0" borderId="31" xfId="1" applyNumberFormat="1" applyFont="1" applyBorder="1" applyAlignment="1" applyProtection="1">
      <alignment horizontal="right" vertical="center"/>
    </xf>
    <xf numFmtId="198" fontId="4" fillId="0" borderId="31" xfId="0" applyNumberFormat="1" applyFont="1" applyBorder="1" applyAlignment="1">
      <alignment horizontal="right" vertical="center"/>
    </xf>
    <xf numFmtId="187" fontId="4" fillId="0" borderId="0" xfId="1" applyNumberFormat="1" applyFont="1" applyBorder="1" applyAlignment="1" applyProtection="1">
      <alignment horizontal="right" vertical="center"/>
    </xf>
    <xf numFmtId="197" fontId="4" fillId="0" borderId="0" xfId="0" applyNumberFormat="1" applyFont="1" applyAlignment="1">
      <alignment horizontal="right" vertical="center"/>
    </xf>
    <xf numFmtId="187" fontId="4" fillId="0" borderId="26" xfId="0" applyNumberFormat="1" applyFont="1" applyBorder="1" applyAlignment="1">
      <alignment horizontal="left" vertical="center"/>
    </xf>
    <xf numFmtId="187" fontId="10" fillId="0" borderId="26" xfId="0" applyNumberFormat="1" applyFont="1" applyBorder="1" applyAlignment="1">
      <alignment horizontal="right" vertical="center"/>
    </xf>
    <xf numFmtId="197" fontId="4" fillId="0" borderId="16" xfId="0" applyNumberFormat="1" applyFont="1" applyBorder="1" applyAlignment="1">
      <alignment horizontal="right" vertical="center"/>
    </xf>
    <xf numFmtId="198" fontId="4" fillId="0" borderId="16" xfId="0" applyNumberFormat="1" applyFont="1" applyBorder="1" applyAlignment="1">
      <alignment horizontal="right" vertical="center"/>
    </xf>
    <xf numFmtId="0" fontId="6" fillId="0" borderId="22" xfId="0" applyFont="1" applyBorder="1" applyAlignment="1">
      <alignment vertical="center"/>
    </xf>
    <xf numFmtId="0" fontId="15" fillId="0" borderId="22" xfId="0" applyFont="1" applyBorder="1" applyAlignment="1">
      <alignment horizontal="center"/>
    </xf>
    <xf numFmtId="0" fontId="15" fillId="0" borderId="23" xfId="0" applyFont="1" applyBorder="1" applyAlignment="1">
      <alignment horizontal="center"/>
    </xf>
    <xf numFmtId="0" fontId="15" fillId="0" borderId="31" xfId="0" applyFont="1" applyBorder="1" applyAlignment="1">
      <alignment horizontal="right" vertical="top"/>
    </xf>
    <xf numFmtId="0" fontId="15" fillId="0" borderId="31" xfId="0" applyFont="1" applyBorder="1" applyAlignment="1">
      <alignment horizontal="center" vertical="top"/>
    </xf>
    <xf numFmtId="187" fontId="15" fillId="0" borderId="27" xfId="0" applyNumberFormat="1" applyFont="1" applyBorder="1" applyAlignment="1">
      <alignment horizontal="right" vertical="center"/>
    </xf>
    <xf numFmtId="197" fontId="15" fillId="0" borderId="27" xfId="0" applyNumberFormat="1" applyFont="1" applyBorder="1" applyAlignment="1">
      <alignment horizontal="right" vertical="center"/>
    </xf>
    <xf numFmtId="187" fontId="15" fillId="0" borderId="27" xfId="0" applyNumberFormat="1" applyFont="1" applyBorder="1" applyAlignment="1">
      <alignment horizontal="left" vertical="center"/>
    </xf>
    <xf numFmtId="187" fontId="14" fillId="0" borderId="27" xfId="0" applyNumberFormat="1" applyFont="1" applyBorder="1" applyAlignment="1">
      <alignment horizontal="left" vertical="center"/>
    </xf>
    <xf numFmtId="197" fontId="14" fillId="0" borderId="27" xfId="0" applyNumberFormat="1" applyFont="1" applyBorder="1" applyAlignment="1">
      <alignment horizontal="right" vertical="center"/>
    </xf>
    <xf numFmtId="187" fontId="14" fillId="0" borderId="27" xfId="0" applyNumberFormat="1" applyFont="1" applyBorder="1" applyAlignment="1">
      <alignment horizontal="right" vertical="center"/>
    </xf>
    <xf numFmtId="187" fontId="15" fillId="0" borderId="13" xfId="1" applyNumberFormat="1" applyFont="1" applyBorder="1" applyAlignment="1" applyProtection="1">
      <alignment horizontal="right" vertical="center"/>
    </xf>
    <xf numFmtId="198" fontId="15" fillId="0" borderId="13" xfId="0" applyNumberFormat="1" applyFont="1" applyBorder="1" applyAlignment="1">
      <alignment horizontal="right" vertical="center"/>
    </xf>
    <xf numFmtId="0" fontId="4" fillId="0" borderId="26" xfId="0" applyFont="1" applyBorder="1"/>
    <xf numFmtId="187" fontId="15" fillId="0" borderId="27" xfId="1" applyNumberFormat="1" applyFont="1" applyBorder="1" applyAlignment="1" applyProtection="1">
      <alignment horizontal="right" vertical="center"/>
    </xf>
    <xf numFmtId="198" fontId="15" fillId="0" borderId="27" xfId="0" applyNumberFormat="1" applyFont="1" applyBorder="1" applyAlignment="1">
      <alignment horizontal="right" vertical="center"/>
    </xf>
    <xf numFmtId="0" fontId="4" fillId="0" borderId="29" xfId="0" applyFont="1" applyBorder="1"/>
    <xf numFmtId="187" fontId="15" fillId="0" borderId="31" xfId="1" applyNumberFormat="1" applyFont="1" applyBorder="1" applyAlignment="1" applyProtection="1">
      <alignment horizontal="right" vertical="center"/>
    </xf>
    <xf numFmtId="198" fontId="15" fillId="0" borderId="31" xfId="0" applyNumberFormat="1" applyFont="1" applyBorder="1" applyAlignment="1">
      <alignment horizontal="right" vertical="center"/>
    </xf>
    <xf numFmtId="0" fontId="4" fillId="0" borderId="22" xfId="0" applyFont="1" applyBorder="1"/>
    <xf numFmtId="0" fontId="4" fillId="0" borderId="35" xfId="0" applyFont="1" applyBorder="1" applyAlignment="1">
      <alignment horizontal="right"/>
    </xf>
    <xf numFmtId="0" fontId="4" fillId="0" borderId="29" xfId="0" applyFont="1" applyBorder="1" applyAlignment="1">
      <alignment vertical="top"/>
    </xf>
    <xf numFmtId="0" fontId="4" fillId="0" borderId="34" xfId="0" applyFont="1" applyBorder="1" applyAlignment="1">
      <alignment vertical="top"/>
    </xf>
    <xf numFmtId="187" fontId="15" fillId="0" borderId="0" xfId="0" applyNumberFormat="1" applyFont="1" applyAlignment="1">
      <alignment horizontal="left" vertical="center"/>
    </xf>
    <xf numFmtId="0" fontId="2" fillId="0" borderId="26" xfId="0" applyFont="1" applyBorder="1"/>
    <xf numFmtId="0" fontId="2" fillId="0" borderId="42" xfId="0" applyFont="1" applyBorder="1"/>
    <xf numFmtId="187" fontId="10" fillId="0" borderId="0" xfId="0" applyNumberFormat="1" applyFont="1" applyAlignment="1">
      <alignment horizontal="right" vertical="center"/>
    </xf>
    <xf numFmtId="187" fontId="10" fillId="0" borderId="27" xfId="0" applyNumberFormat="1" applyFont="1" applyBorder="1" applyAlignment="1">
      <alignment horizontal="right" vertical="center"/>
    </xf>
    <xf numFmtId="187" fontId="15" fillId="0" borderId="14" xfId="1" applyNumberFormat="1" applyFont="1" applyBorder="1" applyAlignment="1" applyProtection="1">
      <alignment horizontal="right" vertical="center"/>
    </xf>
    <xf numFmtId="0" fontId="4" fillId="0" borderId="42" xfId="0" applyFont="1" applyBorder="1" applyAlignment="1">
      <alignment horizontal="distributed"/>
    </xf>
    <xf numFmtId="187" fontId="15" fillId="0" borderId="42" xfId="1" applyNumberFormat="1" applyFont="1" applyBorder="1" applyAlignment="1" applyProtection="1">
      <alignment horizontal="right" vertical="center"/>
    </xf>
    <xf numFmtId="198" fontId="15" fillId="0" borderId="16" xfId="0" applyNumberFormat="1" applyFont="1" applyBorder="1" applyAlignment="1">
      <alignment horizontal="right" vertical="center"/>
    </xf>
    <xf numFmtId="187" fontId="15" fillId="0" borderId="34" xfId="1" applyNumberFormat="1" applyFont="1" applyBorder="1" applyAlignment="1" applyProtection="1">
      <alignment horizontal="right" vertical="center"/>
    </xf>
    <xf numFmtId="187" fontId="15" fillId="0" borderId="26" xfId="0" applyNumberFormat="1" applyFont="1" applyBorder="1" applyAlignment="1">
      <alignment horizontal="right" vertical="center"/>
    </xf>
    <xf numFmtId="187" fontId="15" fillId="0" borderId="26" xfId="0" applyNumberFormat="1" applyFont="1" applyBorder="1" applyAlignment="1">
      <alignment horizontal="left" vertical="center"/>
    </xf>
    <xf numFmtId="187" fontId="14" fillId="0" borderId="26" xfId="0" applyNumberFormat="1" applyFont="1" applyBorder="1" applyAlignment="1">
      <alignment horizontal="left" vertical="center"/>
    </xf>
    <xf numFmtId="0" fontId="2" fillId="0" borderId="26" xfId="0" applyFont="1" applyBorder="1" applyAlignment="1">
      <alignment vertical="center"/>
    </xf>
    <xf numFmtId="187" fontId="15" fillId="0" borderId="15" xfId="1" applyNumberFormat="1" applyFont="1" applyBorder="1" applyAlignment="1" applyProtection="1">
      <alignment horizontal="right" vertical="center"/>
    </xf>
    <xf numFmtId="187" fontId="15" fillId="0" borderId="26" xfId="1" applyNumberFormat="1" applyFont="1" applyBorder="1" applyAlignment="1" applyProtection="1">
      <alignment horizontal="right" vertical="center"/>
    </xf>
    <xf numFmtId="197" fontId="15" fillId="0" borderId="16" xfId="0" applyNumberFormat="1" applyFont="1" applyBorder="1" applyAlignment="1">
      <alignment horizontal="right" vertical="center"/>
    </xf>
    <xf numFmtId="187" fontId="15" fillId="0" borderId="0" xfId="1" applyNumberFormat="1" applyFont="1" applyBorder="1" applyAlignment="1" applyProtection="1">
      <alignment horizontal="right" vertical="center"/>
    </xf>
    <xf numFmtId="187" fontId="15" fillId="0" borderId="29" xfId="1" applyNumberFormat="1" applyFont="1" applyBorder="1" applyAlignment="1" applyProtection="1">
      <alignment horizontal="right" vertical="center"/>
    </xf>
    <xf numFmtId="187" fontId="15" fillId="0" borderId="26" xfId="0" applyNumberFormat="1" applyFont="1" applyBorder="1" applyAlignment="1">
      <alignment vertical="center"/>
    </xf>
    <xf numFmtId="187" fontId="10" fillId="0" borderId="26" xfId="0" applyNumberFormat="1" applyFont="1" applyBorder="1" applyAlignment="1">
      <alignment vertical="center"/>
    </xf>
    <xf numFmtId="197" fontId="10" fillId="0" borderId="16" xfId="0" applyNumberFormat="1" applyFont="1" applyBorder="1" applyAlignment="1">
      <alignment vertical="center"/>
    </xf>
    <xf numFmtId="0" fontId="15" fillId="0" borderId="23" xfId="0" applyFont="1" applyBorder="1" applyAlignment="1">
      <alignment horizontal="right" vertical="center"/>
    </xf>
    <xf numFmtId="0" fontId="15" fillId="0" borderId="26" xfId="0" applyFont="1" applyBorder="1" applyAlignment="1">
      <alignment horizontal="center" vertical="center" wrapText="1"/>
    </xf>
    <xf numFmtId="38" fontId="15" fillId="0" borderId="26" xfId="2" applyFont="1" applyBorder="1" applyAlignment="1" applyProtection="1">
      <alignment horizontal="right" vertical="center"/>
    </xf>
    <xf numFmtId="199" fontId="15" fillId="0" borderId="26" xfId="2" applyNumberFormat="1" applyFont="1" applyBorder="1" applyAlignment="1" applyProtection="1">
      <alignment horizontal="right" vertical="center"/>
    </xf>
    <xf numFmtId="38" fontId="15" fillId="0" borderId="27" xfId="2" applyFont="1" applyBorder="1" applyAlignment="1" applyProtection="1">
      <alignment horizontal="right" vertical="center"/>
    </xf>
    <xf numFmtId="0" fontId="15" fillId="0" borderId="27" xfId="0" applyFont="1" applyBorder="1" applyAlignment="1">
      <alignment horizontal="center" vertical="center" wrapText="1"/>
    </xf>
    <xf numFmtId="38" fontId="15" fillId="0" borderId="26" xfId="2" applyFont="1" applyBorder="1" applyAlignment="1" applyProtection="1">
      <alignment vertical="center"/>
    </xf>
    <xf numFmtId="38" fontId="15" fillId="0" borderId="27" xfId="2" applyFont="1" applyBorder="1" applyAlignment="1" applyProtection="1">
      <alignment vertical="center"/>
    </xf>
    <xf numFmtId="0" fontId="14" fillId="0" borderId="27" xfId="0" applyFont="1" applyBorder="1" applyAlignment="1">
      <alignment horizontal="center" vertical="center" wrapText="1"/>
    </xf>
    <xf numFmtId="38" fontId="14" fillId="0" borderId="26" xfId="2" applyFont="1" applyBorder="1" applyAlignment="1" applyProtection="1">
      <alignment vertical="center"/>
    </xf>
    <xf numFmtId="199" fontId="14" fillId="0" borderId="26" xfId="2" applyNumberFormat="1" applyFont="1" applyBorder="1" applyAlignment="1" applyProtection="1">
      <alignment horizontal="right" vertical="center"/>
    </xf>
    <xf numFmtId="38" fontId="14" fillId="0" borderId="27" xfId="2" applyFont="1" applyBorder="1" applyAlignment="1" applyProtection="1">
      <alignment vertical="center"/>
    </xf>
    <xf numFmtId="0" fontId="14" fillId="0" borderId="26" xfId="0" applyFont="1" applyBorder="1" applyAlignment="1">
      <alignment horizontal="distributed" vertical="center" wrapText="1"/>
    </xf>
    <xf numFmtId="0" fontId="15" fillId="0" borderId="26" xfId="0" applyFont="1" applyBorder="1" applyAlignment="1">
      <alignment horizontal="distributed" vertical="center" wrapText="1"/>
    </xf>
    <xf numFmtId="0" fontId="15" fillId="0" borderId="29" xfId="0" applyFont="1" applyBorder="1" applyAlignment="1">
      <alignment horizontal="distributed" vertical="center" wrapText="1"/>
    </xf>
    <xf numFmtId="38" fontId="15" fillId="0" borderId="29" xfId="2" applyFont="1" applyBorder="1" applyAlignment="1" applyProtection="1">
      <alignment vertical="center"/>
    </xf>
    <xf numFmtId="187" fontId="15" fillId="0" borderId="29" xfId="2" applyNumberFormat="1" applyFont="1" applyBorder="1" applyAlignment="1" applyProtection="1">
      <alignment horizontal="right" vertical="center"/>
    </xf>
    <xf numFmtId="187" fontId="15" fillId="0" borderId="31" xfId="2" applyNumberFormat="1" applyFont="1" applyBorder="1" applyAlignment="1" applyProtection="1">
      <alignment horizontal="right" vertical="center"/>
    </xf>
    <xf numFmtId="199" fontId="15" fillId="0" borderId="29" xfId="2" applyNumberFormat="1" applyFont="1" applyBorder="1" applyAlignment="1" applyProtection="1">
      <alignment horizontal="right" vertical="center"/>
    </xf>
    <xf numFmtId="0" fontId="15" fillId="0" borderId="31" xfId="0" applyFont="1" applyBorder="1" applyAlignment="1">
      <alignment horizontal="left" vertical="center"/>
    </xf>
    <xf numFmtId="0" fontId="15" fillId="0" borderId="37" xfId="0" applyFont="1" applyBorder="1" applyAlignment="1">
      <alignment horizontal="center" vertical="center"/>
    </xf>
    <xf numFmtId="49" fontId="15" fillId="0" borderId="27" xfId="0" applyNumberFormat="1" applyFont="1" applyBorder="1" applyAlignment="1">
      <alignment horizontal="center" vertical="center"/>
    </xf>
    <xf numFmtId="0" fontId="14" fillId="0" borderId="31" xfId="0" applyFont="1" applyBorder="1" applyAlignment="1">
      <alignment horizontal="center" vertical="center" wrapText="1"/>
    </xf>
    <xf numFmtId="187" fontId="14" fillId="0" borderId="31" xfId="1" applyNumberFormat="1" applyFont="1" applyBorder="1" applyAlignment="1" applyProtection="1">
      <alignment horizontal="right" vertical="center"/>
    </xf>
    <xf numFmtId="0" fontId="6" fillId="0" borderId="42" xfId="0" applyFont="1" applyBorder="1" applyAlignment="1">
      <alignment vertical="center"/>
    </xf>
    <xf numFmtId="0" fontId="6" fillId="0" borderId="44" xfId="0" applyFont="1" applyBorder="1" applyAlignment="1">
      <alignment vertical="center" wrapText="1"/>
    </xf>
    <xf numFmtId="0" fontId="2" fillId="0" borderId="44" xfId="0" applyFont="1" applyBorder="1" applyAlignment="1">
      <alignment vertical="center" wrapText="1"/>
    </xf>
    <xf numFmtId="0" fontId="15" fillId="0" borderId="38" xfId="0" applyFont="1" applyBorder="1" applyAlignment="1">
      <alignment horizontal="center" vertical="center" wrapText="1"/>
    </xf>
    <xf numFmtId="0" fontId="15" fillId="0" borderId="46" xfId="0" applyFont="1" applyBorder="1" applyAlignment="1">
      <alignment horizontal="center" vertical="center" wrapText="1"/>
    </xf>
    <xf numFmtId="0" fontId="14" fillId="0" borderId="26" xfId="0" applyFont="1" applyBorder="1" applyAlignment="1">
      <alignment horizontal="center" vertical="center"/>
    </xf>
    <xf numFmtId="187" fontId="14" fillId="0" borderId="27" xfId="1" applyNumberFormat="1" applyFont="1" applyBorder="1" applyAlignment="1" applyProtection="1">
      <alignment vertical="center"/>
    </xf>
    <xf numFmtId="187" fontId="14" fillId="0" borderId="42" xfId="1" applyNumberFormat="1" applyFont="1" applyBorder="1" applyAlignment="1" applyProtection="1">
      <alignment vertical="center"/>
    </xf>
    <xf numFmtId="0" fontId="14" fillId="0" borderId="26" xfId="0" applyFont="1" applyBorder="1" applyAlignment="1">
      <alignment horizontal="distributed" vertical="center"/>
    </xf>
    <xf numFmtId="187" fontId="15" fillId="0" borderId="27" xfId="1" applyNumberFormat="1" applyFont="1" applyBorder="1" applyAlignment="1" applyProtection="1">
      <alignment vertical="center"/>
    </xf>
    <xf numFmtId="187" fontId="15" fillId="0" borderId="42" xfId="1" applyNumberFormat="1" applyFont="1" applyBorder="1" applyAlignment="1" applyProtection="1">
      <alignment vertical="center"/>
    </xf>
    <xf numFmtId="0" fontId="15" fillId="0" borderId="26" xfId="0" applyFont="1" applyBorder="1" applyAlignment="1">
      <alignment vertical="center" wrapText="1"/>
    </xf>
    <xf numFmtId="187" fontId="15" fillId="0" borderId="31" xfId="1" applyNumberFormat="1" applyFont="1" applyBorder="1" applyAlignment="1" applyProtection="1">
      <alignment vertical="center"/>
    </xf>
    <xf numFmtId="0" fontId="15" fillId="0" borderId="22" xfId="0" applyFont="1" applyBorder="1" applyAlignment="1">
      <alignment horizontal="right"/>
    </xf>
    <xf numFmtId="0" fontId="15" fillId="0" borderId="43" xfId="0" applyFont="1" applyBorder="1" applyAlignment="1">
      <alignment horizontal="right"/>
    </xf>
    <xf numFmtId="0" fontId="15" fillId="0" borderId="26" xfId="0" applyFont="1" applyBorder="1" applyAlignment="1">
      <alignment horizontal="left"/>
    </xf>
    <xf numFmtId="0" fontId="15" fillId="0" borderId="29" xfId="0" applyFont="1" applyBorder="1" applyAlignment="1">
      <alignment vertical="top"/>
    </xf>
    <xf numFmtId="0" fontId="15" fillId="0" borderId="36" xfId="0" applyFont="1" applyBorder="1" applyAlignment="1">
      <alignment vertical="top"/>
    </xf>
    <xf numFmtId="0" fontId="15" fillId="0" borderId="31" xfId="0" applyFont="1" applyBorder="1" applyAlignment="1">
      <alignment horizontal="right"/>
    </xf>
    <xf numFmtId="0" fontId="14" fillId="0" borderId="41" xfId="0" applyFont="1" applyBorder="1" applyAlignment="1">
      <alignment horizontal="center"/>
    </xf>
    <xf numFmtId="183" fontId="14" fillId="0" borderId="27" xfId="0" applyNumberFormat="1" applyFont="1" applyBorder="1" applyAlignment="1">
      <alignment horizontal="right"/>
    </xf>
    <xf numFmtId="183" fontId="14" fillId="0" borderId="42" xfId="0" applyNumberFormat="1" applyFont="1" applyBorder="1" applyAlignment="1">
      <alignment horizontal="right"/>
    </xf>
    <xf numFmtId="0" fontId="15" fillId="0" borderId="42" xfId="0" applyFont="1" applyBorder="1" applyAlignment="1">
      <alignment horizontal="center"/>
    </xf>
    <xf numFmtId="0" fontId="15" fillId="0" borderId="27" xfId="0" applyFont="1" applyBorder="1"/>
    <xf numFmtId="200" fontId="15" fillId="0" borderId="42" xfId="0" applyNumberFormat="1" applyFont="1" applyBorder="1" applyAlignment="1">
      <alignment horizontal="right"/>
    </xf>
    <xf numFmtId="183" fontId="15" fillId="0" borderId="27" xfId="0" applyNumberFormat="1" applyFont="1" applyBorder="1" applyAlignment="1">
      <alignment horizontal="right"/>
    </xf>
    <xf numFmtId="200" fontId="15" fillId="0" borderId="34" xfId="0" applyNumberFormat="1" applyFont="1" applyBorder="1" applyAlignment="1">
      <alignment horizontal="right"/>
    </xf>
    <xf numFmtId="183" fontId="15" fillId="0" borderId="31" xfId="0" applyNumberFormat="1" applyFont="1" applyBorder="1" applyAlignment="1">
      <alignment horizontal="right"/>
    </xf>
    <xf numFmtId="0" fontId="15" fillId="0" borderId="19" xfId="0" applyFont="1" applyBorder="1" applyAlignment="1">
      <alignment horizontal="center" vertical="center"/>
    </xf>
    <xf numFmtId="183" fontId="15" fillId="0" borderId="27" xfId="1" applyNumberFormat="1" applyFont="1" applyBorder="1" applyAlignment="1" applyProtection="1">
      <alignment vertical="center"/>
    </xf>
    <xf numFmtId="183" fontId="15" fillId="0" borderId="26" xfId="1" applyNumberFormat="1" applyFont="1" applyBorder="1" applyAlignment="1" applyProtection="1">
      <alignment vertical="center"/>
    </xf>
    <xf numFmtId="183" fontId="14" fillId="0" borderId="29" xfId="1" applyNumberFormat="1" applyFont="1" applyBorder="1" applyAlignment="1" applyProtection="1">
      <alignment vertical="center"/>
    </xf>
    <xf numFmtId="183" fontId="14" fillId="0" borderId="31" xfId="1" applyNumberFormat="1" applyFont="1" applyBorder="1" applyAlignment="1" applyProtection="1">
      <alignment vertical="center"/>
    </xf>
    <xf numFmtId="187" fontId="15" fillId="0" borderId="27" xfId="0" applyNumberFormat="1" applyFont="1" applyBorder="1" applyAlignment="1">
      <alignment vertical="center"/>
    </xf>
    <xf numFmtId="190" fontId="15" fillId="0" borderId="0" xfId="0" applyNumberFormat="1" applyFont="1" applyAlignment="1">
      <alignment horizontal="right" vertical="center"/>
    </xf>
    <xf numFmtId="185" fontId="15" fillId="0" borderId="27" xfId="0" applyNumberFormat="1" applyFont="1" applyBorder="1" applyAlignment="1">
      <alignment vertical="center"/>
    </xf>
    <xf numFmtId="187" fontId="14" fillId="0" borderId="31" xfId="0" applyNumberFormat="1" applyFont="1" applyBorder="1" applyAlignment="1">
      <alignment vertical="center"/>
    </xf>
    <xf numFmtId="190" fontId="14" fillId="0" borderId="36" xfId="0" applyNumberFormat="1" applyFont="1" applyBorder="1" applyAlignment="1">
      <alignment horizontal="right" vertical="center"/>
    </xf>
    <xf numFmtId="185" fontId="14" fillId="0" borderId="31" xfId="0" applyNumberFormat="1" applyFont="1" applyBorder="1" applyAlignment="1">
      <alignment vertical="center"/>
    </xf>
    <xf numFmtId="3" fontId="15" fillId="0" borderId="19" xfId="0" applyNumberFormat="1" applyFont="1" applyBorder="1" applyAlignment="1">
      <alignment horizontal="center" vertical="center" wrapText="1"/>
    </xf>
    <xf numFmtId="3" fontId="15" fillId="0" borderId="58" xfId="0" applyNumberFormat="1" applyFont="1" applyBorder="1" applyAlignment="1">
      <alignment horizontal="center" vertical="center" wrapText="1"/>
    </xf>
    <xf numFmtId="3" fontId="15" fillId="0" borderId="37" xfId="0" applyNumberFormat="1" applyFont="1" applyBorder="1" applyAlignment="1">
      <alignment horizontal="center" vertical="center" wrapText="1"/>
    </xf>
    <xf numFmtId="187" fontId="15" fillId="0" borderId="48" xfId="0" applyNumberFormat="1" applyFont="1" applyBorder="1" applyAlignment="1">
      <alignment horizontal="right" vertical="center"/>
    </xf>
    <xf numFmtId="187" fontId="15" fillId="0" borderId="12" xfId="0" applyNumberFormat="1" applyFont="1" applyBorder="1" applyAlignment="1">
      <alignment horizontal="right" vertical="center"/>
    </xf>
    <xf numFmtId="187" fontId="14" fillId="0" borderId="31" xfId="0" applyNumberFormat="1" applyFont="1" applyBorder="1" applyAlignment="1">
      <alignment horizontal="right" vertical="center"/>
    </xf>
    <xf numFmtId="187" fontId="14" fillId="0" borderId="49" xfId="0" applyNumberFormat="1" applyFont="1" applyBorder="1" applyAlignment="1">
      <alignment horizontal="right" vertical="center"/>
    </xf>
    <xf numFmtId="187" fontId="14" fillId="0" borderId="59" xfId="0" applyNumberFormat="1" applyFont="1" applyBorder="1" applyAlignment="1">
      <alignment horizontal="right" vertical="center"/>
    </xf>
    <xf numFmtId="187" fontId="14" fillId="0" borderId="29" xfId="0" applyNumberFormat="1" applyFont="1" applyBorder="1" applyAlignment="1">
      <alignment horizontal="right" vertical="center"/>
    </xf>
    <xf numFmtId="187" fontId="15" fillId="0" borderId="40" xfId="6" applyNumberFormat="1" applyFont="1" applyBorder="1" applyAlignment="1" applyProtection="1">
      <alignment vertical="center"/>
    </xf>
    <xf numFmtId="187" fontId="14" fillId="0" borderId="32" xfId="6" applyNumberFormat="1" applyFont="1" applyBorder="1" applyAlignment="1" applyProtection="1">
      <alignment vertical="center"/>
    </xf>
    <xf numFmtId="187" fontId="15" fillId="0" borderId="26" xfId="6" applyNumberFormat="1" applyFont="1" applyBorder="1" applyAlignment="1" applyProtection="1">
      <alignment vertical="center"/>
    </xf>
    <xf numFmtId="187" fontId="14" fillId="0" borderId="27" xfId="6" applyNumberFormat="1" applyFont="1" applyBorder="1" applyAlignment="1" applyProtection="1">
      <alignment vertical="center"/>
    </xf>
    <xf numFmtId="187" fontId="15" fillId="0" borderId="26" xfId="6" applyNumberFormat="1" applyFont="1" applyBorder="1" applyAlignment="1" applyProtection="1">
      <alignment horizontal="right" vertical="center"/>
    </xf>
    <xf numFmtId="187" fontId="14" fillId="0" borderId="27" xfId="6" applyNumberFormat="1" applyFont="1" applyBorder="1" applyAlignment="1" applyProtection="1">
      <alignment horizontal="right" vertical="center"/>
    </xf>
    <xf numFmtId="0" fontId="2" fillId="0" borderId="29" xfId="0" applyFont="1" applyBorder="1" applyAlignment="1">
      <alignment vertical="center"/>
    </xf>
    <xf numFmtId="0" fontId="15" fillId="0" borderId="36" xfId="0" applyFont="1" applyBorder="1" applyAlignment="1">
      <alignment horizontal="distributed" vertical="center" wrapText="1"/>
    </xf>
    <xf numFmtId="187" fontId="15" fillId="0" borderId="29" xfId="6" applyNumberFormat="1" applyFont="1" applyBorder="1" applyAlignment="1" applyProtection="1">
      <alignment vertical="center"/>
    </xf>
    <xf numFmtId="187" fontId="14" fillId="0" borderId="31" xfId="6" applyNumberFormat="1" applyFont="1" applyBorder="1" applyAlignment="1" applyProtection="1">
      <alignment vertical="center"/>
    </xf>
    <xf numFmtId="193" fontId="6" fillId="0" borderId="0" xfId="0" applyNumberFormat="1" applyFont="1" applyAlignment="1">
      <alignment vertical="center"/>
    </xf>
    <xf numFmtId="187" fontId="15" fillId="0" borderId="40" xfId="1" applyNumberFormat="1" applyFont="1" applyBorder="1" applyAlignment="1" applyProtection="1">
      <alignment vertical="center"/>
    </xf>
    <xf numFmtId="187" fontId="15" fillId="0" borderId="26" xfId="1" applyNumberFormat="1" applyFont="1" applyBorder="1" applyAlignment="1" applyProtection="1">
      <alignment vertical="center"/>
    </xf>
    <xf numFmtId="183" fontId="14" fillId="0" borderId="27" xfId="6" applyNumberFormat="1" applyFont="1" applyBorder="1" applyAlignment="1" applyProtection="1">
      <alignment vertical="center"/>
    </xf>
    <xf numFmtId="187" fontId="15" fillId="0" borderId="42" xfId="6" applyNumberFormat="1" applyFont="1" applyBorder="1" applyAlignment="1" applyProtection="1">
      <alignment horizontal="right" vertical="center"/>
    </xf>
    <xf numFmtId="181" fontId="15" fillId="0" borderId="26" xfId="1" applyNumberFormat="1" applyFont="1" applyBorder="1" applyAlignment="1" applyProtection="1">
      <alignment horizontal="right" vertical="center"/>
    </xf>
    <xf numFmtId="201" fontId="14" fillId="0" borderId="27" xfId="6" applyNumberFormat="1" applyFont="1" applyBorder="1" applyAlignment="1" applyProtection="1">
      <alignment horizontal="right" vertical="center"/>
    </xf>
    <xf numFmtId="187" fontId="15" fillId="0" borderId="2" xfId="1" applyNumberFormat="1" applyFont="1" applyBorder="1" applyAlignment="1" applyProtection="1">
      <alignment horizontal="right" vertical="center"/>
    </xf>
    <xf numFmtId="187" fontId="15" fillId="0" borderId="3" xfId="6" applyNumberFormat="1" applyFont="1" applyBorder="1" applyAlignment="1" applyProtection="1">
      <alignment horizontal="right" vertical="center"/>
    </xf>
    <xf numFmtId="193" fontId="6" fillId="0" borderId="0" xfId="0" applyNumberFormat="1" applyFont="1" applyAlignment="1">
      <alignment horizontal="right" vertical="center"/>
    </xf>
    <xf numFmtId="0" fontId="4" fillId="0" borderId="22" xfId="0" applyFont="1" applyBorder="1" applyAlignment="1">
      <alignment horizontal="distributed" vertical="center"/>
    </xf>
    <xf numFmtId="0" fontId="4" fillId="0" borderId="35" xfId="0" applyFont="1" applyBorder="1" applyAlignment="1">
      <alignment horizontal="distributed" vertical="center"/>
    </xf>
    <xf numFmtId="0" fontId="4" fillId="0" borderId="26" xfId="0" applyFont="1" applyBorder="1" applyAlignment="1">
      <alignment horizontal="distributed" vertical="center"/>
    </xf>
    <xf numFmtId="0" fontId="4" fillId="0" borderId="4" xfId="0" applyFont="1" applyBorder="1" applyAlignment="1">
      <alignment horizontal="distributed" vertical="center"/>
    </xf>
    <xf numFmtId="0" fontId="4" fillId="0" borderId="29" xfId="0" applyFont="1" applyBorder="1" applyAlignment="1">
      <alignment horizontal="right" vertical="top"/>
    </xf>
    <xf numFmtId="0" fontId="4" fillId="0" borderId="34" xfId="0" applyFont="1" applyBorder="1" applyAlignment="1">
      <alignment horizontal="right" vertical="top"/>
    </xf>
    <xf numFmtId="0" fontId="4" fillId="0" borderId="23" xfId="0" applyFont="1" applyBorder="1" applyAlignment="1">
      <alignment horizontal="center" vertical="center"/>
    </xf>
    <xf numFmtId="0" fontId="6" fillId="0" borderId="0" xfId="0" applyFont="1" applyBorder="1" applyAlignment="1">
      <alignment horizontal="left" vertical="center"/>
    </xf>
    <xf numFmtId="0" fontId="15" fillId="0" borderId="23" xfId="0" applyFont="1" applyBorder="1" applyAlignment="1">
      <alignment horizontal="center" vertical="center"/>
    </xf>
    <xf numFmtId="0" fontId="15" fillId="0" borderId="31" xfId="0" applyFont="1" applyBorder="1" applyAlignment="1">
      <alignment horizontal="center" vertical="center"/>
    </xf>
    <xf numFmtId="0" fontId="15" fillId="0" borderId="29" xfId="0" applyFont="1" applyBorder="1" applyAlignment="1">
      <alignment horizontal="left" vertical="center"/>
    </xf>
    <xf numFmtId="0" fontId="15" fillId="0" borderId="36" xfId="0" applyFont="1" applyBorder="1" applyAlignment="1">
      <alignment horizontal="left" vertical="center"/>
    </xf>
    <xf numFmtId="0" fontId="14" fillId="0" borderId="40" xfId="0" applyFont="1" applyBorder="1" applyAlignment="1">
      <alignment horizontal="distributed" vertical="center"/>
    </xf>
    <xf numFmtId="0" fontId="14" fillId="0" borderId="44" xfId="0" applyFont="1" applyBorder="1" applyAlignment="1">
      <alignment horizontal="distributed" vertical="center"/>
    </xf>
    <xf numFmtId="0" fontId="15" fillId="0" borderId="43" xfId="0" applyFont="1" applyBorder="1" applyAlignment="1">
      <alignment horizontal="right" vertical="center"/>
    </xf>
    <xf numFmtId="0" fontId="15" fillId="0" borderId="35" xfId="0" applyFont="1" applyBorder="1" applyAlignment="1">
      <alignment horizontal="right"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6" fillId="0" borderId="32" xfId="0" applyFont="1" applyBorder="1" applyAlignment="1">
      <alignment horizont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2" xfId="0" applyFont="1" applyBorder="1" applyAlignment="1">
      <alignment horizontal="center" wrapText="1"/>
    </xf>
    <xf numFmtId="0" fontId="26" fillId="0" borderId="2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33" fillId="0" borderId="45"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38" xfId="0" applyFont="1" applyBorder="1" applyAlignment="1">
      <alignment horizontal="center" vertical="center" wrapText="1"/>
    </xf>
    <xf numFmtId="0" fontId="28" fillId="0" borderId="37"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54" xfId="0" applyFont="1" applyBorder="1" applyAlignment="1">
      <alignment horizontal="center" vertical="center" wrapText="1"/>
    </xf>
    <xf numFmtId="0" fontId="35" fillId="0" borderId="38" xfId="0" applyFont="1" applyBorder="1" applyAlignment="1">
      <alignment horizontal="center" vertical="center" wrapText="1"/>
    </xf>
    <xf numFmtId="0" fontId="27"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8" fillId="0" borderId="38" xfId="0" applyFont="1" applyBorder="1" applyAlignment="1">
      <alignment horizontal="distributed" vertical="center" wrapText="1"/>
    </xf>
    <xf numFmtId="49" fontId="27" fillId="0" borderId="38" xfId="0" applyNumberFormat="1" applyFont="1" applyBorder="1" applyAlignment="1">
      <alignment horizontal="center" vertical="center" wrapText="1"/>
    </xf>
    <xf numFmtId="0" fontId="27" fillId="0" borderId="38" xfId="0" applyFont="1" applyBorder="1" applyAlignment="1">
      <alignment horizontal="distributed" vertical="center"/>
    </xf>
    <xf numFmtId="0" fontId="34" fillId="0" borderId="39"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8" xfId="0" applyFont="1" applyBorder="1" applyAlignment="1">
      <alignment horizontal="distributed" vertical="center" wrapText="1"/>
    </xf>
    <xf numFmtId="0" fontId="4" fillId="0" borderId="32" xfId="0" applyFont="1" applyBorder="1" applyAlignment="1">
      <alignment horizontal="center" vertical="center"/>
    </xf>
    <xf numFmtId="0" fontId="4" fillId="0" borderId="13" xfId="0" applyFont="1" applyBorder="1" applyAlignment="1">
      <alignment horizontal="distributed" vertical="center"/>
    </xf>
    <xf numFmtId="0" fontId="10" fillId="0" borderId="27"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distributed"/>
    </xf>
    <xf numFmtId="0" fontId="4" fillId="0" borderId="13" xfId="0" applyFont="1" applyBorder="1" applyAlignment="1">
      <alignment horizontal="center" vertical="center"/>
    </xf>
    <xf numFmtId="0" fontId="4" fillId="0" borderId="27" xfId="0" applyFont="1" applyBorder="1" applyAlignment="1">
      <alignment horizontal="distributed"/>
    </xf>
    <xf numFmtId="0" fontId="4" fillId="0" borderId="15" xfId="0" applyFont="1" applyBorder="1" applyAlignment="1">
      <alignment horizontal="distributed"/>
    </xf>
    <xf numFmtId="0" fontId="15" fillId="0" borderId="32" xfId="0" applyFont="1" applyBorder="1" applyAlignment="1">
      <alignment horizontal="center" vertical="center"/>
    </xf>
    <xf numFmtId="0" fontId="14" fillId="0" borderId="27" xfId="0" applyFont="1" applyBorder="1" applyAlignment="1">
      <alignment horizontal="center" vertical="center"/>
    </xf>
    <xf numFmtId="0" fontId="15" fillId="0" borderId="27" xfId="0" applyFont="1" applyBorder="1" applyAlignment="1">
      <alignment horizontal="center" vertical="center"/>
    </xf>
    <xf numFmtId="0" fontId="15" fillId="0" borderId="38" xfId="0" applyFont="1" applyBorder="1" applyAlignment="1">
      <alignment horizontal="center" vertical="center" wrapText="1"/>
    </xf>
    <xf numFmtId="0" fontId="15" fillId="0" borderId="23" xfId="0" applyFont="1" applyBorder="1" applyAlignment="1">
      <alignment horizontal="center"/>
    </xf>
    <xf numFmtId="0" fontId="14" fillId="0" borderId="40" xfId="0" applyFont="1" applyBorder="1" applyAlignment="1">
      <alignment horizontal="center"/>
    </xf>
    <xf numFmtId="0" fontId="15" fillId="0" borderId="26" xfId="0" applyFont="1" applyBorder="1" applyAlignment="1">
      <alignment horizontal="center"/>
    </xf>
    <xf numFmtId="200" fontId="15" fillId="0" borderId="26" xfId="0" applyNumberFormat="1" applyFont="1" applyBorder="1" applyAlignment="1">
      <alignment horizontal="right"/>
    </xf>
    <xf numFmtId="0" fontId="6" fillId="0" borderId="0" xfId="0" applyFont="1" applyAlignment="1">
      <alignment horizontal="left"/>
    </xf>
    <xf numFmtId="0" fontId="2" fillId="0" borderId="0" xfId="0" applyFont="1" applyAlignment="1">
      <alignment horizontal="left"/>
    </xf>
    <xf numFmtId="200" fontId="15" fillId="0" borderId="29" xfId="0" applyNumberFormat="1" applyFont="1" applyBorder="1" applyAlignment="1">
      <alignment horizontal="left"/>
    </xf>
    <xf numFmtId="0" fontId="15" fillId="0" borderId="22" xfId="0" applyFont="1" applyBorder="1" applyAlignment="1">
      <alignment horizontal="center" vertical="center"/>
    </xf>
    <xf numFmtId="49" fontId="15" fillId="0" borderId="53" xfId="0" applyNumberFormat="1" applyFont="1" applyBorder="1" applyAlignment="1">
      <alignment horizontal="distributed" vertical="center" wrapText="1"/>
    </xf>
    <xf numFmtId="3" fontId="15" fillId="0" borderId="54" xfId="0" applyNumberFormat="1" applyFont="1" applyBorder="1" applyAlignment="1">
      <alignment horizontal="center" vertical="center" wrapText="1"/>
    </xf>
    <xf numFmtId="3" fontId="15" fillId="0" borderId="57" xfId="0" applyNumberFormat="1" applyFont="1" applyBorder="1" applyAlignment="1">
      <alignment horizontal="center" vertical="center" wrapText="1"/>
    </xf>
    <xf numFmtId="3" fontId="15" fillId="0" borderId="37" xfId="0" applyNumberFormat="1" applyFont="1" applyBorder="1" applyAlignment="1">
      <alignment horizontal="center" vertical="center" wrapText="1"/>
    </xf>
    <xf numFmtId="3" fontId="15" fillId="0" borderId="55"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3"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15" fillId="0" borderId="8" xfId="0" applyFont="1" applyBorder="1" applyAlignment="1">
      <alignment horizontal="distributed" vertical="center" wrapText="1"/>
    </xf>
    <xf numFmtId="0" fontId="15" fillId="0" borderId="7" xfId="0" applyFont="1" applyBorder="1" applyAlignment="1">
      <alignment horizontal="distributed" vertical="center" wrapText="1"/>
    </xf>
    <xf numFmtId="0" fontId="6" fillId="0" borderId="9" xfId="0" applyFont="1" applyBorder="1" applyAlignment="1">
      <alignment vertical="center"/>
    </xf>
    <xf numFmtId="0" fontId="12" fillId="0" borderId="0" xfId="0" applyFont="1" applyBorder="1" applyAlignment="1">
      <alignment vertical="center"/>
    </xf>
    <xf numFmtId="0" fontId="4" fillId="0" borderId="22" xfId="0" applyFont="1" applyBorder="1" applyAlignment="1">
      <alignment horizontal="right" vertical="center"/>
    </xf>
    <xf numFmtId="0" fontId="4" fillId="0" borderId="35" xfId="0" applyFont="1" applyBorder="1" applyAlignment="1">
      <alignment horizontal="right" vertical="center"/>
    </xf>
    <xf numFmtId="0" fontId="21" fillId="0" borderId="23" xfId="0" applyFont="1" applyBorder="1" applyAlignment="1">
      <alignment horizontal="center" vertical="center"/>
    </xf>
    <xf numFmtId="0" fontId="21" fillId="0" borderId="31" xfId="0" applyFont="1" applyBorder="1" applyAlignment="1">
      <alignment horizontal="center" vertical="center"/>
    </xf>
    <xf numFmtId="0" fontId="15" fillId="0" borderId="32" xfId="0" applyFont="1" applyBorder="1" applyAlignment="1">
      <alignment horizontal="distributed" vertical="center" wrapText="1"/>
    </xf>
    <xf numFmtId="0" fontId="6" fillId="0" borderId="44" xfId="0" applyFont="1" applyBorder="1" applyAlignment="1">
      <alignment vertical="center"/>
    </xf>
    <xf numFmtId="0" fontId="4" fillId="0" borderId="23" xfId="0" applyFont="1" applyBorder="1" applyAlignment="1">
      <alignment horizontal="right" vertical="center"/>
    </xf>
    <xf numFmtId="0" fontId="20" fillId="0" borderId="39" xfId="0" applyFont="1" applyBorder="1" applyAlignment="1">
      <alignment horizontal="center" vertical="center"/>
    </xf>
    <xf numFmtId="0" fontId="14" fillId="0" borderId="38" xfId="0" applyFont="1" applyBorder="1" applyAlignment="1">
      <alignment horizontal="center" vertical="center"/>
    </xf>
    <xf numFmtId="0" fontId="4" fillId="0" borderId="27" xfId="0" applyFont="1" applyBorder="1" applyAlignment="1">
      <alignment vertical="center"/>
    </xf>
  </cellXfs>
  <cellStyles count="8">
    <cellStyle name="パーセント" xfId="7" builtinId="5"/>
    <cellStyle name="パーセント 2" xfId="4" xr:uid="{00000000-0005-0000-0000-000000000000}"/>
    <cellStyle name="ハイパーリンク" xfId="5" builtinId="8"/>
    <cellStyle name="桁区切り 2" xfId="1" xr:uid="{00000000-0005-0000-0000-000001000000}"/>
    <cellStyle name="桁区切り 2 2" xfId="6" xr:uid="{FC85525F-26AF-4E7E-8592-DE08B44BCDE3}"/>
    <cellStyle name="桁区切り 3" xfId="2" xr:uid="{00000000-0005-0000-0000-000002000000}"/>
    <cellStyle name="標準" xfId="0" builtinId="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2E4FDDD8-B906-4813-86EB-30FF279A13C1}"/>
            </a:ext>
          </a:extLst>
        </xdr:cNvPr>
        <xdr:cNvSpPr>
          <a:spLocks noChangeShapeType="1"/>
        </xdr:cNvSpPr>
      </xdr:nvSpPr>
      <xdr:spPr bwMode="auto">
        <a:xfrm>
          <a:off x="0" y="1714500"/>
          <a:ext cx="7715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xdr:row>
      <xdr:rowOff>0</xdr:rowOff>
    </xdr:from>
    <xdr:to>
      <xdr:col>1</xdr:col>
      <xdr:colOff>4938</xdr:colOff>
      <xdr:row>10</xdr:row>
      <xdr:rowOff>335</xdr:rowOff>
    </xdr:to>
    <xdr:sp macro="" textlink="">
      <xdr:nvSpPr>
        <xdr:cNvPr id="3" name="Line 1">
          <a:extLst>
            <a:ext uri="{FF2B5EF4-FFF2-40B4-BE49-F238E27FC236}">
              <a16:creationId xmlns:a16="http://schemas.microsoft.com/office/drawing/2014/main" id="{EF11B293-AC5F-454A-AE22-A7CD776D0912}"/>
            </a:ext>
          </a:extLst>
        </xdr:cNvPr>
        <xdr:cNvSpPr/>
      </xdr:nvSpPr>
      <xdr:spPr>
        <a:xfrm>
          <a:off x="0" y="2819400"/>
          <a:ext cx="542820" cy="5731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3">
          <a:extLst>
            <a:ext uri="{FF2B5EF4-FFF2-40B4-BE49-F238E27FC236}">
              <a16:creationId xmlns:a16="http://schemas.microsoft.com/office/drawing/2014/main" id="{71976EB3-4070-48F4-B565-31FA236E3F94}"/>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9360</xdr:rowOff>
    </xdr:from>
    <xdr:to>
      <xdr:col>0</xdr:col>
      <xdr:colOff>496440</xdr:colOff>
      <xdr:row>3</xdr:row>
      <xdr:rowOff>201600</xdr:rowOff>
    </xdr:to>
    <xdr:sp macro="" textlink="">
      <xdr:nvSpPr>
        <xdr:cNvPr id="3" name="Line 1">
          <a:extLst>
            <a:ext uri="{FF2B5EF4-FFF2-40B4-BE49-F238E27FC236}">
              <a16:creationId xmlns:a16="http://schemas.microsoft.com/office/drawing/2014/main" id="{41EABDFF-CA82-45F7-B5E6-353CE1D67F39}"/>
            </a:ext>
          </a:extLst>
        </xdr:cNvPr>
        <xdr:cNvSpPr/>
      </xdr:nvSpPr>
      <xdr:spPr>
        <a:xfrm>
          <a:off x="9360" y="702780"/>
          <a:ext cx="479460" cy="5884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624D3973-B4C2-44E1-8865-457341E1BCD6}"/>
            </a:ext>
          </a:extLst>
        </xdr:cNvPr>
        <xdr:cNvSpPr>
          <a:spLocks noChangeShapeType="1"/>
        </xdr:cNvSpPr>
      </xdr:nvSpPr>
      <xdr:spPr bwMode="auto">
        <a:xfrm>
          <a:off x="0" y="685800"/>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496440</xdr:colOff>
      <xdr:row>3</xdr:row>
      <xdr:rowOff>190440</xdr:rowOff>
    </xdr:to>
    <xdr:sp macro="" textlink="">
      <xdr:nvSpPr>
        <xdr:cNvPr id="3" name="Line 1">
          <a:extLst>
            <a:ext uri="{FF2B5EF4-FFF2-40B4-BE49-F238E27FC236}">
              <a16:creationId xmlns:a16="http://schemas.microsoft.com/office/drawing/2014/main" id="{2BC31FCA-4055-4457-A007-807E3FA877B0}"/>
            </a:ext>
          </a:extLst>
        </xdr:cNvPr>
        <xdr:cNvSpPr/>
      </xdr:nvSpPr>
      <xdr:spPr>
        <a:xfrm>
          <a:off x="0" y="693420"/>
          <a:ext cx="488820" cy="5714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F607291B-DC7A-4F96-8EB7-02BC1C3EA7CF}"/>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511560</xdr:colOff>
      <xdr:row>4</xdr:row>
      <xdr:rowOff>201960</xdr:rowOff>
    </xdr:to>
    <xdr:sp macro="" textlink="">
      <xdr:nvSpPr>
        <xdr:cNvPr id="3" name="Line 1">
          <a:extLst>
            <a:ext uri="{FF2B5EF4-FFF2-40B4-BE49-F238E27FC236}">
              <a16:creationId xmlns:a16="http://schemas.microsoft.com/office/drawing/2014/main" id="{94449B9F-CCF1-4F3F-9AAD-6CF2ED574116}"/>
            </a:ext>
          </a:extLst>
        </xdr:cNvPr>
        <xdr:cNvSpPr/>
      </xdr:nvSpPr>
      <xdr:spPr>
        <a:xfrm>
          <a:off x="0" y="893280"/>
          <a:ext cx="503940" cy="58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C3B1F69F-7379-44E6-AD7C-F68FC980451A}"/>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9360</xdr:rowOff>
    </xdr:from>
    <xdr:to>
      <xdr:col>0</xdr:col>
      <xdr:colOff>511560</xdr:colOff>
      <xdr:row>3</xdr:row>
      <xdr:rowOff>201600</xdr:rowOff>
    </xdr:to>
    <xdr:sp macro="" textlink="">
      <xdr:nvSpPr>
        <xdr:cNvPr id="3" name="Line 1">
          <a:extLst>
            <a:ext uri="{FF2B5EF4-FFF2-40B4-BE49-F238E27FC236}">
              <a16:creationId xmlns:a16="http://schemas.microsoft.com/office/drawing/2014/main" id="{33ED589E-8AB9-4B30-A8DC-11893D89A4CA}"/>
            </a:ext>
          </a:extLst>
        </xdr:cNvPr>
        <xdr:cNvSpPr/>
      </xdr:nvSpPr>
      <xdr:spPr>
        <a:xfrm>
          <a:off x="9360" y="702780"/>
          <a:ext cx="494580" cy="5884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190500</xdr:rowOff>
    </xdr:to>
    <xdr:sp macro="" textlink="">
      <xdr:nvSpPr>
        <xdr:cNvPr id="2" name="Line 1">
          <a:extLst>
            <a:ext uri="{FF2B5EF4-FFF2-40B4-BE49-F238E27FC236}">
              <a16:creationId xmlns:a16="http://schemas.microsoft.com/office/drawing/2014/main" id="{54ED8621-25F0-47C8-828E-F46A77B3E49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496440</xdr:colOff>
      <xdr:row>4</xdr:row>
      <xdr:rowOff>190440</xdr:rowOff>
    </xdr:to>
    <xdr:sp macro="" textlink="">
      <xdr:nvSpPr>
        <xdr:cNvPr id="3" name="Line 1">
          <a:extLst>
            <a:ext uri="{FF2B5EF4-FFF2-40B4-BE49-F238E27FC236}">
              <a16:creationId xmlns:a16="http://schemas.microsoft.com/office/drawing/2014/main" id="{17258117-D54B-4B3F-B496-FE660B9292C9}"/>
            </a:ext>
          </a:extLst>
        </xdr:cNvPr>
        <xdr:cNvSpPr/>
      </xdr:nvSpPr>
      <xdr:spPr>
        <a:xfrm>
          <a:off x="9360" y="893280"/>
          <a:ext cx="479460" cy="5773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9525</xdr:colOff>
      <xdr:row>4</xdr:row>
      <xdr:rowOff>9525</xdr:rowOff>
    </xdr:to>
    <xdr:sp macro="" textlink="">
      <xdr:nvSpPr>
        <xdr:cNvPr id="2" name="Line 1">
          <a:extLst>
            <a:ext uri="{FF2B5EF4-FFF2-40B4-BE49-F238E27FC236}">
              <a16:creationId xmlns:a16="http://schemas.microsoft.com/office/drawing/2014/main" id="{DA056957-5E00-4A7A-8E7C-A0D962E22CD6}"/>
            </a:ext>
          </a:extLst>
        </xdr:cNvPr>
        <xdr:cNvSpPr>
          <a:spLocks noChangeShapeType="1"/>
        </xdr:cNvSpPr>
      </xdr:nvSpPr>
      <xdr:spPr bwMode="auto">
        <a:xfrm>
          <a:off x="9525" y="695325"/>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9360</xdr:rowOff>
    </xdr:from>
    <xdr:to>
      <xdr:col>1</xdr:col>
      <xdr:colOff>9360</xdr:colOff>
      <xdr:row>4</xdr:row>
      <xdr:rowOff>9720</xdr:rowOff>
    </xdr:to>
    <xdr:sp macro="" textlink="">
      <xdr:nvSpPr>
        <xdr:cNvPr id="3" name="Line 1">
          <a:extLst>
            <a:ext uri="{FF2B5EF4-FFF2-40B4-BE49-F238E27FC236}">
              <a16:creationId xmlns:a16="http://schemas.microsoft.com/office/drawing/2014/main" id="{EC38B455-F13C-405A-8752-FA4C1E052E27}"/>
            </a:ext>
          </a:extLst>
        </xdr:cNvPr>
        <xdr:cNvSpPr/>
      </xdr:nvSpPr>
      <xdr:spPr>
        <a:xfrm>
          <a:off x="9360" y="702780"/>
          <a:ext cx="487680" cy="594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9A7EB33F-476E-4896-9106-F520D73512B9}"/>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504000</xdr:colOff>
      <xdr:row>4</xdr:row>
      <xdr:rowOff>201960</xdr:rowOff>
    </xdr:to>
    <xdr:sp macro="" textlink="">
      <xdr:nvSpPr>
        <xdr:cNvPr id="3" name="Line 1">
          <a:extLst>
            <a:ext uri="{FF2B5EF4-FFF2-40B4-BE49-F238E27FC236}">
              <a16:creationId xmlns:a16="http://schemas.microsoft.com/office/drawing/2014/main" id="{29269B59-7393-45C6-817A-17FD2F9FD07D}"/>
            </a:ext>
          </a:extLst>
        </xdr:cNvPr>
        <xdr:cNvSpPr/>
      </xdr:nvSpPr>
      <xdr:spPr>
        <a:xfrm>
          <a:off x="9360" y="870420"/>
          <a:ext cx="487020" cy="58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6355697-451F-455C-8960-1CC23CA0D3CD}"/>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9360</xdr:rowOff>
    </xdr:from>
    <xdr:to>
      <xdr:col>0</xdr:col>
      <xdr:colOff>915480</xdr:colOff>
      <xdr:row>3</xdr:row>
      <xdr:rowOff>201960</xdr:rowOff>
    </xdr:to>
    <xdr:sp macro="" textlink="">
      <xdr:nvSpPr>
        <xdr:cNvPr id="3" name="Line 1">
          <a:extLst>
            <a:ext uri="{FF2B5EF4-FFF2-40B4-BE49-F238E27FC236}">
              <a16:creationId xmlns:a16="http://schemas.microsoft.com/office/drawing/2014/main" id="{91921B69-AFD1-41AE-BA7E-C24594A9199D}"/>
            </a:ext>
          </a:extLst>
        </xdr:cNvPr>
        <xdr:cNvSpPr/>
      </xdr:nvSpPr>
      <xdr:spPr>
        <a:xfrm>
          <a:off x="9360" y="702780"/>
          <a:ext cx="890880" cy="535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2</xdr:row>
      <xdr:rowOff>19050</xdr:rowOff>
    </xdr:from>
    <xdr:to>
      <xdr:col>2</xdr:col>
      <xdr:colOff>0</xdr:colOff>
      <xdr:row>4</xdr:row>
      <xdr:rowOff>0</xdr:rowOff>
    </xdr:to>
    <xdr:sp macro="" textlink="">
      <xdr:nvSpPr>
        <xdr:cNvPr id="2" name="Line 4">
          <a:extLst>
            <a:ext uri="{FF2B5EF4-FFF2-40B4-BE49-F238E27FC236}">
              <a16:creationId xmlns:a16="http://schemas.microsoft.com/office/drawing/2014/main" id="{931B33B3-6886-4E89-9F4D-C4BA84281171}"/>
            </a:ext>
          </a:extLst>
        </xdr:cNvPr>
        <xdr:cNvSpPr>
          <a:spLocks noChangeShapeType="1"/>
        </xdr:cNvSpPr>
      </xdr:nvSpPr>
      <xdr:spPr bwMode="auto">
        <a:xfrm>
          <a:off x="9525" y="8763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75</xdr:row>
      <xdr:rowOff>19050</xdr:rowOff>
    </xdr:from>
    <xdr:to>
      <xdr:col>2</xdr:col>
      <xdr:colOff>0</xdr:colOff>
      <xdr:row>77</xdr:row>
      <xdr:rowOff>0</xdr:rowOff>
    </xdr:to>
    <xdr:sp macro="" textlink="">
      <xdr:nvSpPr>
        <xdr:cNvPr id="3" name="Line 5">
          <a:extLst>
            <a:ext uri="{FF2B5EF4-FFF2-40B4-BE49-F238E27FC236}">
              <a16:creationId xmlns:a16="http://schemas.microsoft.com/office/drawing/2014/main" id="{CF296906-66BF-495B-8863-6C8988ACCF32}"/>
            </a:ext>
          </a:extLst>
        </xdr:cNvPr>
        <xdr:cNvSpPr>
          <a:spLocks noChangeShapeType="1"/>
        </xdr:cNvSpPr>
      </xdr:nvSpPr>
      <xdr:spPr bwMode="auto">
        <a:xfrm>
          <a:off x="9525" y="133921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62</xdr:row>
      <xdr:rowOff>19050</xdr:rowOff>
    </xdr:from>
    <xdr:to>
      <xdr:col>2</xdr:col>
      <xdr:colOff>19050</xdr:colOff>
      <xdr:row>64</xdr:row>
      <xdr:rowOff>9525</xdr:rowOff>
    </xdr:to>
    <xdr:sp macro="" textlink="">
      <xdr:nvSpPr>
        <xdr:cNvPr id="4" name="Line 6">
          <a:extLst>
            <a:ext uri="{FF2B5EF4-FFF2-40B4-BE49-F238E27FC236}">
              <a16:creationId xmlns:a16="http://schemas.microsoft.com/office/drawing/2014/main" id="{494F0CDF-99A4-4B83-B0EF-BE1489321716}"/>
            </a:ext>
          </a:extLst>
        </xdr:cNvPr>
        <xdr:cNvSpPr>
          <a:spLocks noChangeShapeType="1"/>
        </xdr:cNvSpPr>
      </xdr:nvSpPr>
      <xdr:spPr bwMode="auto">
        <a:xfrm>
          <a:off x="28575" y="11163300"/>
          <a:ext cx="13620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1</xdr:col>
      <xdr:colOff>1342440</xdr:colOff>
      <xdr:row>3</xdr:row>
      <xdr:rowOff>190440</xdr:rowOff>
    </xdr:to>
    <xdr:sp macro="" textlink="">
      <xdr:nvSpPr>
        <xdr:cNvPr id="5" name="Line 1">
          <a:extLst>
            <a:ext uri="{FF2B5EF4-FFF2-40B4-BE49-F238E27FC236}">
              <a16:creationId xmlns:a16="http://schemas.microsoft.com/office/drawing/2014/main" id="{332E5AB4-6724-42CB-A82D-322AB480C5FA}"/>
            </a:ext>
          </a:extLst>
        </xdr:cNvPr>
        <xdr:cNvSpPr/>
      </xdr:nvSpPr>
      <xdr:spPr>
        <a:xfrm>
          <a:off x="9360" y="902640"/>
          <a:ext cx="156930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75</xdr:row>
      <xdr:rowOff>18720</xdr:rowOff>
    </xdr:from>
    <xdr:to>
      <xdr:col>1</xdr:col>
      <xdr:colOff>1342440</xdr:colOff>
      <xdr:row>76</xdr:row>
      <xdr:rowOff>190440</xdr:rowOff>
    </xdr:to>
    <xdr:sp macro="" textlink="">
      <xdr:nvSpPr>
        <xdr:cNvPr id="6" name="Line 1">
          <a:extLst>
            <a:ext uri="{FF2B5EF4-FFF2-40B4-BE49-F238E27FC236}">
              <a16:creationId xmlns:a16="http://schemas.microsoft.com/office/drawing/2014/main" id="{FFBD434C-298B-426D-A832-C7F588F3F13C}"/>
            </a:ext>
          </a:extLst>
        </xdr:cNvPr>
        <xdr:cNvSpPr/>
      </xdr:nvSpPr>
      <xdr:spPr>
        <a:xfrm>
          <a:off x="9360" y="12485040"/>
          <a:ext cx="156930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28440</xdr:colOff>
      <xdr:row>62</xdr:row>
      <xdr:rowOff>18720</xdr:rowOff>
    </xdr:from>
    <xdr:to>
      <xdr:col>2</xdr:col>
      <xdr:colOff>18720</xdr:colOff>
      <xdr:row>64</xdr:row>
      <xdr:rowOff>9360</xdr:rowOff>
    </xdr:to>
    <xdr:sp macro="" textlink="">
      <xdr:nvSpPr>
        <xdr:cNvPr id="7" name="Line 1">
          <a:extLst>
            <a:ext uri="{FF2B5EF4-FFF2-40B4-BE49-F238E27FC236}">
              <a16:creationId xmlns:a16="http://schemas.microsoft.com/office/drawing/2014/main" id="{ABA5B923-9831-411B-8E64-337EC5633E42}"/>
            </a:ext>
          </a:extLst>
        </xdr:cNvPr>
        <xdr:cNvSpPr/>
      </xdr:nvSpPr>
      <xdr:spPr>
        <a:xfrm>
          <a:off x="28440" y="10450500"/>
          <a:ext cx="1567620" cy="3106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19050</xdr:rowOff>
    </xdr:from>
    <xdr:to>
      <xdr:col>2</xdr:col>
      <xdr:colOff>0</xdr:colOff>
      <xdr:row>5</xdr:row>
      <xdr:rowOff>0</xdr:rowOff>
    </xdr:to>
    <xdr:sp macro="" textlink="">
      <xdr:nvSpPr>
        <xdr:cNvPr id="2" name="Line 1">
          <a:extLst>
            <a:ext uri="{FF2B5EF4-FFF2-40B4-BE49-F238E27FC236}">
              <a16:creationId xmlns:a16="http://schemas.microsoft.com/office/drawing/2014/main" id="{32BCF046-5FD4-4923-9E1A-4138867C0ED2}"/>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29</xdr:row>
      <xdr:rowOff>19050</xdr:rowOff>
    </xdr:from>
    <xdr:to>
      <xdr:col>2</xdr:col>
      <xdr:colOff>0</xdr:colOff>
      <xdr:row>31</xdr:row>
      <xdr:rowOff>0</xdr:rowOff>
    </xdr:to>
    <xdr:sp macro="" textlink="">
      <xdr:nvSpPr>
        <xdr:cNvPr id="3" name="Line 2">
          <a:extLst>
            <a:ext uri="{FF2B5EF4-FFF2-40B4-BE49-F238E27FC236}">
              <a16:creationId xmlns:a16="http://schemas.microsoft.com/office/drawing/2014/main" id="{1D9D408B-BE82-4F7A-8316-D6B1FF65B3E2}"/>
            </a:ext>
          </a:extLst>
        </xdr:cNvPr>
        <xdr:cNvSpPr>
          <a:spLocks noChangeShapeType="1"/>
        </xdr:cNvSpPr>
      </xdr:nvSpPr>
      <xdr:spPr bwMode="auto">
        <a:xfrm>
          <a:off x="9525" y="55054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3</xdr:row>
      <xdr:rowOff>18720</xdr:rowOff>
    </xdr:from>
    <xdr:to>
      <xdr:col>1</xdr:col>
      <xdr:colOff>1350000</xdr:colOff>
      <xdr:row>4</xdr:row>
      <xdr:rowOff>190440</xdr:rowOff>
    </xdr:to>
    <xdr:sp macro="" textlink="">
      <xdr:nvSpPr>
        <xdr:cNvPr id="4" name="Line 1">
          <a:extLst>
            <a:ext uri="{FF2B5EF4-FFF2-40B4-BE49-F238E27FC236}">
              <a16:creationId xmlns:a16="http://schemas.microsoft.com/office/drawing/2014/main" id="{88CC856B-D069-4B15-98D9-BE0DE337C5CD}"/>
            </a:ext>
          </a:extLst>
        </xdr:cNvPr>
        <xdr:cNvSpPr/>
      </xdr:nvSpPr>
      <xdr:spPr>
        <a:xfrm>
          <a:off x="9360" y="963600"/>
          <a:ext cx="154638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29</xdr:row>
      <xdr:rowOff>18720</xdr:rowOff>
    </xdr:from>
    <xdr:to>
      <xdr:col>1</xdr:col>
      <xdr:colOff>1350000</xdr:colOff>
      <xdr:row>30</xdr:row>
      <xdr:rowOff>190440</xdr:rowOff>
    </xdr:to>
    <xdr:sp macro="" textlink="">
      <xdr:nvSpPr>
        <xdr:cNvPr id="5" name="Line 1">
          <a:extLst>
            <a:ext uri="{FF2B5EF4-FFF2-40B4-BE49-F238E27FC236}">
              <a16:creationId xmlns:a16="http://schemas.microsoft.com/office/drawing/2014/main" id="{6422B5E6-213E-49B6-8132-07C2D52FCFB2}"/>
            </a:ext>
          </a:extLst>
        </xdr:cNvPr>
        <xdr:cNvSpPr/>
      </xdr:nvSpPr>
      <xdr:spPr>
        <a:xfrm>
          <a:off x="9360" y="6129960"/>
          <a:ext cx="154638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9525" y="103822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504000</xdr:colOff>
      <xdr:row>3</xdr:row>
      <xdr:rowOff>209520</xdr:rowOff>
    </xdr:to>
    <xdr:sp macro="" textlink="">
      <xdr:nvSpPr>
        <xdr:cNvPr id="4" name="Line 1">
          <a:extLst>
            <a:ext uri="{FF2B5EF4-FFF2-40B4-BE49-F238E27FC236}">
              <a16:creationId xmlns:a16="http://schemas.microsoft.com/office/drawing/2014/main" id="{C7CA90DD-A03A-4C19-8F2D-48848C85AE95}"/>
            </a:ext>
          </a:extLst>
        </xdr:cNvPr>
        <xdr:cNvSpPr/>
      </xdr:nvSpPr>
      <xdr:spPr>
        <a:xfrm>
          <a:off x="9360" y="992340"/>
          <a:ext cx="487020" cy="4059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34</xdr:row>
      <xdr:rowOff>9525</xdr:rowOff>
    </xdr:from>
    <xdr:to>
      <xdr:col>2</xdr:col>
      <xdr:colOff>9525</xdr:colOff>
      <xdr:row>36</xdr:row>
      <xdr:rowOff>0</xdr:rowOff>
    </xdr:to>
    <xdr:sp macro="" textlink="">
      <xdr:nvSpPr>
        <xdr:cNvPr id="2" name="Line 1">
          <a:extLst>
            <a:ext uri="{FF2B5EF4-FFF2-40B4-BE49-F238E27FC236}">
              <a16:creationId xmlns:a16="http://schemas.microsoft.com/office/drawing/2014/main" id="{C450D740-F1A0-4CC8-B85E-BC10057A0187}"/>
            </a:ext>
          </a:extLst>
        </xdr:cNvPr>
        <xdr:cNvSpPr>
          <a:spLocks noChangeShapeType="1"/>
        </xdr:cNvSpPr>
      </xdr:nvSpPr>
      <xdr:spPr bwMode="auto">
        <a:xfrm>
          <a:off x="0" y="6353175"/>
          <a:ext cx="13811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19050</xdr:rowOff>
    </xdr:from>
    <xdr:to>
      <xdr:col>2</xdr:col>
      <xdr:colOff>0</xdr:colOff>
      <xdr:row>5</xdr:row>
      <xdr:rowOff>0</xdr:rowOff>
    </xdr:to>
    <xdr:sp macro="" textlink="">
      <xdr:nvSpPr>
        <xdr:cNvPr id="3" name="Line 2">
          <a:extLst>
            <a:ext uri="{FF2B5EF4-FFF2-40B4-BE49-F238E27FC236}">
              <a16:creationId xmlns:a16="http://schemas.microsoft.com/office/drawing/2014/main" id="{8F181C20-12EE-4B6D-99DE-B406B52C6429}"/>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9360</xdr:rowOff>
    </xdr:from>
    <xdr:to>
      <xdr:col>2</xdr:col>
      <xdr:colOff>9360</xdr:colOff>
      <xdr:row>35</xdr:row>
      <xdr:rowOff>178920</xdr:rowOff>
    </xdr:to>
    <xdr:sp macro="" textlink="">
      <xdr:nvSpPr>
        <xdr:cNvPr id="4" name="Line 1">
          <a:extLst>
            <a:ext uri="{FF2B5EF4-FFF2-40B4-BE49-F238E27FC236}">
              <a16:creationId xmlns:a16="http://schemas.microsoft.com/office/drawing/2014/main" id="{31CA64AE-6A24-4390-8E4F-781F1DF97B63}"/>
            </a:ext>
          </a:extLst>
        </xdr:cNvPr>
        <xdr:cNvSpPr/>
      </xdr:nvSpPr>
      <xdr:spPr>
        <a:xfrm>
          <a:off x="0" y="5975820"/>
          <a:ext cx="2142960" cy="3448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3</xdr:row>
      <xdr:rowOff>18720</xdr:rowOff>
    </xdr:from>
    <xdr:to>
      <xdr:col>1</xdr:col>
      <xdr:colOff>1916640</xdr:colOff>
      <xdr:row>4</xdr:row>
      <xdr:rowOff>179280</xdr:rowOff>
    </xdr:to>
    <xdr:sp macro="" textlink="">
      <xdr:nvSpPr>
        <xdr:cNvPr id="5" name="Line 1">
          <a:extLst>
            <a:ext uri="{FF2B5EF4-FFF2-40B4-BE49-F238E27FC236}">
              <a16:creationId xmlns:a16="http://schemas.microsoft.com/office/drawing/2014/main" id="{4A547DED-72F0-43DE-9489-417C8024BE95}"/>
            </a:ext>
          </a:extLst>
        </xdr:cNvPr>
        <xdr:cNvSpPr/>
      </xdr:nvSpPr>
      <xdr:spPr>
        <a:xfrm>
          <a:off x="9360" y="963600"/>
          <a:ext cx="2120640" cy="3282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4</xdr:row>
      <xdr:rowOff>0</xdr:rowOff>
    </xdr:to>
    <xdr:sp macro="" textlink="">
      <xdr:nvSpPr>
        <xdr:cNvPr id="2" name="Line 1">
          <a:extLst>
            <a:ext uri="{FF2B5EF4-FFF2-40B4-BE49-F238E27FC236}">
              <a16:creationId xmlns:a16="http://schemas.microsoft.com/office/drawing/2014/main" id="{D811992C-71FC-4032-A7B5-307791FD05BD}"/>
            </a:ext>
          </a:extLst>
        </xdr:cNvPr>
        <xdr:cNvSpPr>
          <a:spLocks noChangeShapeType="1"/>
        </xdr:cNvSpPr>
      </xdr:nvSpPr>
      <xdr:spPr bwMode="auto">
        <a:xfrm>
          <a:off x="0" y="876300"/>
          <a:ext cx="13906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26</xdr:row>
      <xdr:rowOff>19050</xdr:rowOff>
    </xdr:from>
    <xdr:to>
      <xdr:col>2</xdr:col>
      <xdr:colOff>0</xdr:colOff>
      <xdr:row>28</xdr:row>
      <xdr:rowOff>0</xdr:rowOff>
    </xdr:to>
    <xdr:sp macro="" textlink="">
      <xdr:nvSpPr>
        <xdr:cNvPr id="3" name="Line 2">
          <a:extLst>
            <a:ext uri="{FF2B5EF4-FFF2-40B4-BE49-F238E27FC236}">
              <a16:creationId xmlns:a16="http://schemas.microsoft.com/office/drawing/2014/main" id="{848562E9-9A59-48D1-90BF-3601730F0DCD}"/>
            </a:ext>
          </a:extLst>
        </xdr:cNvPr>
        <xdr:cNvSpPr>
          <a:spLocks noChangeShapeType="1"/>
        </xdr:cNvSpPr>
      </xdr:nvSpPr>
      <xdr:spPr bwMode="auto">
        <a:xfrm>
          <a:off x="9525" y="49911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2</xdr:col>
      <xdr:colOff>18720</xdr:colOff>
      <xdr:row>3</xdr:row>
      <xdr:rowOff>179280</xdr:rowOff>
    </xdr:to>
    <xdr:sp macro="" textlink="">
      <xdr:nvSpPr>
        <xdr:cNvPr id="4" name="Line 1">
          <a:extLst>
            <a:ext uri="{FF2B5EF4-FFF2-40B4-BE49-F238E27FC236}">
              <a16:creationId xmlns:a16="http://schemas.microsoft.com/office/drawing/2014/main" id="{BCF7A506-4593-4A56-98B2-59E03F33DBCF}"/>
            </a:ext>
          </a:extLst>
        </xdr:cNvPr>
        <xdr:cNvSpPr/>
      </xdr:nvSpPr>
      <xdr:spPr>
        <a:xfrm>
          <a:off x="0" y="902640"/>
          <a:ext cx="1687500" cy="3282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26</xdr:row>
      <xdr:rowOff>18720</xdr:rowOff>
    </xdr:from>
    <xdr:to>
      <xdr:col>1</xdr:col>
      <xdr:colOff>1443600</xdr:colOff>
      <xdr:row>27</xdr:row>
      <xdr:rowOff>179280</xdr:rowOff>
    </xdr:to>
    <xdr:sp macro="" textlink="">
      <xdr:nvSpPr>
        <xdr:cNvPr id="5" name="Line 1">
          <a:extLst>
            <a:ext uri="{FF2B5EF4-FFF2-40B4-BE49-F238E27FC236}">
              <a16:creationId xmlns:a16="http://schemas.microsoft.com/office/drawing/2014/main" id="{9841B27F-6C98-43FA-8C73-EF79B2E0976B}"/>
            </a:ext>
          </a:extLst>
        </xdr:cNvPr>
        <xdr:cNvSpPr/>
      </xdr:nvSpPr>
      <xdr:spPr>
        <a:xfrm>
          <a:off x="9360" y="4834560"/>
          <a:ext cx="1662840" cy="3282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0BE12257-8B77-4FC7-BA18-50A630E278A9}"/>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0</xdr:col>
      <xdr:colOff>954360</xdr:colOff>
      <xdr:row>3</xdr:row>
      <xdr:rowOff>190440</xdr:rowOff>
    </xdr:to>
    <xdr:sp macro="" textlink="">
      <xdr:nvSpPr>
        <xdr:cNvPr id="3" name="Line 1">
          <a:extLst>
            <a:ext uri="{FF2B5EF4-FFF2-40B4-BE49-F238E27FC236}">
              <a16:creationId xmlns:a16="http://schemas.microsoft.com/office/drawing/2014/main" id="{1DE3DA1C-42C3-4B5E-A054-8914C3AB7EC6}"/>
            </a:ext>
          </a:extLst>
        </xdr:cNvPr>
        <xdr:cNvSpPr/>
      </xdr:nvSpPr>
      <xdr:spPr>
        <a:xfrm>
          <a:off x="0" y="834060"/>
          <a:ext cx="93912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3</xdr:row>
      <xdr:rowOff>209550</xdr:rowOff>
    </xdr:to>
    <xdr:sp macro="" textlink="">
      <xdr:nvSpPr>
        <xdr:cNvPr id="2" name="Line 1">
          <a:extLst>
            <a:ext uri="{FF2B5EF4-FFF2-40B4-BE49-F238E27FC236}">
              <a16:creationId xmlns:a16="http://schemas.microsoft.com/office/drawing/2014/main" id="{9F669B40-6741-4173-9C61-C7E277E8406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775800</xdr:colOff>
      <xdr:row>3</xdr:row>
      <xdr:rowOff>209520</xdr:rowOff>
    </xdr:to>
    <xdr:sp macro="" textlink="">
      <xdr:nvSpPr>
        <xdr:cNvPr id="3" name="Line 1">
          <a:extLst>
            <a:ext uri="{FF2B5EF4-FFF2-40B4-BE49-F238E27FC236}">
              <a16:creationId xmlns:a16="http://schemas.microsoft.com/office/drawing/2014/main" id="{23215C82-948F-41D3-BBF3-7D41D41B68C1}"/>
            </a:ext>
          </a:extLst>
        </xdr:cNvPr>
        <xdr:cNvSpPr/>
      </xdr:nvSpPr>
      <xdr:spPr>
        <a:xfrm>
          <a:off x="9360" y="824700"/>
          <a:ext cx="751200" cy="4059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9525</xdr:colOff>
      <xdr:row>5</xdr:row>
      <xdr:rowOff>0</xdr:rowOff>
    </xdr:to>
    <xdr:sp macro="" textlink="">
      <xdr:nvSpPr>
        <xdr:cNvPr id="2" name="Line 1">
          <a:extLst>
            <a:ext uri="{FF2B5EF4-FFF2-40B4-BE49-F238E27FC236}">
              <a16:creationId xmlns:a16="http://schemas.microsoft.com/office/drawing/2014/main" id="{8721CAF2-0D99-4D6A-B957-0E526403CFF5}"/>
            </a:ext>
          </a:extLst>
        </xdr:cNvPr>
        <xdr:cNvSpPr>
          <a:spLocks noChangeShapeType="1"/>
        </xdr:cNvSpPr>
      </xdr:nvSpPr>
      <xdr:spPr bwMode="auto">
        <a:xfrm>
          <a:off x="0" y="885825"/>
          <a:ext cx="138112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28440</xdr:rowOff>
    </xdr:from>
    <xdr:to>
      <xdr:col>2</xdr:col>
      <xdr:colOff>9360</xdr:colOff>
      <xdr:row>4</xdr:row>
      <xdr:rowOff>199800</xdr:rowOff>
    </xdr:to>
    <xdr:sp macro="" textlink="">
      <xdr:nvSpPr>
        <xdr:cNvPr id="3" name="Line 1">
          <a:extLst>
            <a:ext uri="{FF2B5EF4-FFF2-40B4-BE49-F238E27FC236}">
              <a16:creationId xmlns:a16="http://schemas.microsoft.com/office/drawing/2014/main" id="{BB864BCF-4EAD-409D-BF6E-0D084F2D12ED}"/>
            </a:ext>
          </a:extLst>
        </xdr:cNvPr>
        <xdr:cNvSpPr/>
      </xdr:nvSpPr>
      <xdr:spPr>
        <a:xfrm>
          <a:off x="0" y="881880"/>
          <a:ext cx="2927820" cy="5371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9">
          <a:extLst>
            <a:ext uri="{FF2B5EF4-FFF2-40B4-BE49-F238E27FC236}">
              <a16:creationId xmlns:a16="http://schemas.microsoft.com/office/drawing/2014/main" id="{AC49FD36-5677-45A1-AA40-3C417338801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744840</xdr:colOff>
      <xdr:row>3</xdr:row>
      <xdr:rowOff>209520</xdr:rowOff>
    </xdr:to>
    <xdr:sp macro="" textlink="">
      <xdr:nvSpPr>
        <xdr:cNvPr id="3" name="Line 1">
          <a:extLst>
            <a:ext uri="{FF2B5EF4-FFF2-40B4-BE49-F238E27FC236}">
              <a16:creationId xmlns:a16="http://schemas.microsoft.com/office/drawing/2014/main" id="{186BEC1A-57F7-47AF-BC8C-E8735A232585}"/>
            </a:ext>
          </a:extLst>
        </xdr:cNvPr>
        <xdr:cNvSpPr/>
      </xdr:nvSpPr>
      <xdr:spPr>
        <a:xfrm>
          <a:off x="0" y="824700"/>
          <a:ext cx="729600" cy="4059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19050</xdr:colOff>
      <xdr:row>4</xdr:row>
      <xdr:rowOff>0</xdr:rowOff>
    </xdr:to>
    <xdr:sp macro="" textlink="">
      <xdr:nvSpPr>
        <xdr:cNvPr id="2" name="Line 104">
          <a:extLst>
            <a:ext uri="{FF2B5EF4-FFF2-40B4-BE49-F238E27FC236}">
              <a16:creationId xmlns:a16="http://schemas.microsoft.com/office/drawing/2014/main" id="{D30A258A-147D-4A34-9147-C1E717383C16}"/>
            </a:ext>
          </a:extLst>
        </xdr:cNvPr>
        <xdr:cNvSpPr>
          <a:spLocks noChangeShapeType="1"/>
        </xdr:cNvSpPr>
      </xdr:nvSpPr>
      <xdr:spPr bwMode="auto">
        <a:xfrm>
          <a:off x="0" y="866775"/>
          <a:ext cx="7048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19050</xdr:colOff>
      <xdr:row>4</xdr:row>
      <xdr:rowOff>0</xdr:rowOff>
    </xdr:to>
    <xdr:sp macro="" textlink="">
      <xdr:nvSpPr>
        <xdr:cNvPr id="3" name="Line 104">
          <a:extLst>
            <a:ext uri="{FF2B5EF4-FFF2-40B4-BE49-F238E27FC236}">
              <a16:creationId xmlns:a16="http://schemas.microsoft.com/office/drawing/2014/main" id="{51C41C1B-A5CF-44C7-A7D3-78AA87709B98}"/>
            </a:ext>
          </a:extLst>
        </xdr:cNvPr>
        <xdr:cNvSpPr>
          <a:spLocks noChangeShapeType="1"/>
        </xdr:cNvSpPr>
      </xdr:nvSpPr>
      <xdr:spPr bwMode="auto">
        <a:xfrm>
          <a:off x="0" y="866775"/>
          <a:ext cx="7048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1</xdr:col>
      <xdr:colOff>18720</xdr:colOff>
      <xdr:row>3</xdr:row>
      <xdr:rowOff>190440</xdr:rowOff>
    </xdr:to>
    <xdr:sp macro="" textlink="">
      <xdr:nvSpPr>
        <xdr:cNvPr id="4" name="Line 1">
          <a:extLst>
            <a:ext uri="{FF2B5EF4-FFF2-40B4-BE49-F238E27FC236}">
              <a16:creationId xmlns:a16="http://schemas.microsoft.com/office/drawing/2014/main" id="{B311FC5B-FF26-446B-8D6F-5675A4FE371D}"/>
            </a:ext>
          </a:extLst>
        </xdr:cNvPr>
        <xdr:cNvSpPr/>
      </xdr:nvSpPr>
      <xdr:spPr>
        <a:xfrm>
          <a:off x="0" y="695160"/>
          <a:ext cx="12303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2</xdr:row>
      <xdr:rowOff>9360</xdr:rowOff>
    </xdr:from>
    <xdr:to>
      <xdr:col>1</xdr:col>
      <xdr:colOff>18720</xdr:colOff>
      <xdr:row>3</xdr:row>
      <xdr:rowOff>190440</xdr:rowOff>
    </xdr:to>
    <xdr:sp macro="" textlink="">
      <xdr:nvSpPr>
        <xdr:cNvPr id="5" name="Line 1">
          <a:extLst>
            <a:ext uri="{FF2B5EF4-FFF2-40B4-BE49-F238E27FC236}">
              <a16:creationId xmlns:a16="http://schemas.microsoft.com/office/drawing/2014/main" id="{9788C536-F14D-4B93-919A-B9433279AAB3}"/>
            </a:ext>
          </a:extLst>
        </xdr:cNvPr>
        <xdr:cNvSpPr/>
      </xdr:nvSpPr>
      <xdr:spPr>
        <a:xfrm>
          <a:off x="0" y="695160"/>
          <a:ext cx="12303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5</xdr:row>
      <xdr:rowOff>0</xdr:rowOff>
    </xdr:to>
    <xdr:sp macro="" textlink="">
      <xdr:nvSpPr>
        <xdr:cNvPr id="2" name="Line 1">
          <a:extLst>
            <a:ext uri="{FF2B5EF4-FFF2-40B4-BE49-F238E27FC236}">
              <a16:creationId xmlns:a16="http://schemas.microsoft.com/office/drawing/2014/main" id="{F27E8ECA-C2C4-482E-8119-D9A8839B035A}"/>
            </a:ext>
          </a:extLst>
        </xdr:cNvPr>
        <xdr:cNvSpPr>
          <a:spLocks noChangeShapeType="1"/>
        </xdr:cNvSpPr>
      </xdr:nvSpPr>
      <xdr:spPr bwMode="auto">
        <a:xfrm>
          <a:off x="19050" y="885825"/>
          <a:ext cx="6667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28440</xdr:rowOff>
    </xdr:from>
    <xdr:to>
      <xdr:col>0</xdr:col>
      <xdr:colOff>1039320</xdr:colOff>
      <xdr:row>4</xdr:row>
      <xdr:rowOff>228600</xdr:rowOff>
    </xdr:to>
    <xdr:sp macro="" textlink="">
      <xdr:nvSpPr>
        <xdr:cNvPr id="3" name="Line 1">
          <a:extLst>
            <a:ext uri="{FF2B5EF4-FFF2-40B4-BE49-F238E27FC236}">
              <a16:creationId xmlns:a16="http://schemas.microsoft.com/office/drawing/2014/main" id="{34F3E10D-6AA8-4E61-860F-75E8D5C8D188}"/>
            </a:ext>
          </a:extLst>
        </xdr:cNvPr>
        <xdr:cNvSpPr/>
      </xdr:nvSpPr>
      <xdr:spPr>
        <a:xfrm>
          <a:off x="18720" y="676140"/>
          <a:ext cx="1005360" cy="680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1571625</xdr:colOff>
      <xdr:row>3</xdr:row>
      <xdr:rowOff>180975</xdr:rowOff>
    </xdr:to>
    <xdr:sp macro="" textlink="">
      <xdr:nvSpPr>
        <xdr:cNvPr id="2" name="Line 1">
          <a:extLst>
            <a:ext uri="{FF2B5EF4-FFF2-40B4-BE49-F238E27FC236}">
              <a16:creationId xmlns:a16="http://schemas.microsoft.com/office/drawing/2014/main" id="{5CD8AD02-162E-4B57-A562-D42E3F5313C5}"/>
            </a:ext>
          </a:extLst>
        </xdr:cNvPr>
        <xdr:cNvSpPr>
          <a:spLocks noChangeShapeType="1"/>
        </xdr:cNvSpPr>
      </xdr:nvSpPr>
      <xdr:spPr bwMode="auto">
        <a:xfrm>
          <a:off x="9525" y="866775"/>
          <a:ext cx="1362075" cy="333375"/>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4</xdr:row>
      <xdr:rowOff>0</xdr:rowOff>
    </xdr:to>
    <xdr:sp macro="" textlink="">
      <xdr:nvSpPr>
        <xdr:cNvPr id="2" name="Line 1">
          <a:extLst>
            <a:ext uri="{FF2B5EF4-FFF2-40B4-BE49-F238E27FC236}">
              <a16:creationId xmlns:a16="http://schemas.microsoft.com/office/drawing/2014/main" id="{F0F8364B-6AAF-4D1B-A15F-F782A312AD3E}"/>
            </a:ext>
          </a:extLst>
        </xdr:cNvPr>
        <xdr:cNvSpPr>
          <a:spLocks noChangeShapeType="1"/>
        </xdr:cNvSpPr>
      </xdr:nvSpPr>
      <xdr:spPr bwMode="auto">
        <a:xfrm>
          <a:off x="0" y="866775"/>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1228725</xdr:colOff>
      <xdr:row>21</xdr:row>
      <xdr:rowOff>0</xdr:rowOff>
    </xdr:from>
    <xdr:to>
      <xdr:col>1</xdr:col>
      <xdr:colOff>1571625</xdr:colOff>
      <xdr:row>21</xdr:row>
      <xdr:rowOff>0</xdr:rowOff>
    </xdr:to>
    <xdr:sp macro="" textlink="">
      <xdr:nvSpPr>
        <xdr:cNvPr id="3" name="テキスト 2">
          <a:extLst>
            <a:ext uri="{FF2B5EF4-FFF2-40B4-BE49-F238E27FC236}">
              <a16:creationId xmlns:a16="http://schemas.microsoft.com/office/drawing/2014/main" id="{88FCEB9F-432C-4C29-B6B7-2E6B9892F48D}"/>
            </a:ext>
          </a:extLst>
        </xdr:cNvPr>
        <xdr:cNvSpPr txBox="1">
          <a:spLocks noChangeArrowheads="1"/>
        </xdr:cNvSpPr>
      </xdr:nvSpPr>
      <xdr:spPr bwMode="auto">
        <a:xfrm>
          <a:off x="1371600" y="4114800"/>
          <a:ext cx="0" cy="0"/>
        </a:xfrm>
        <a:prstGeom prst="rect">
          <a:avLst/>
        </a:prstGeom>
        <a:noFill/>
        <a:ln>
          <a:noFill/>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明朝"/>
              <a:ea typeface="ＭＳ 明朝"/>
            </a:rPr>
            <a:t>｛</a:t>
          </a:r>
        </a:p>
      </xdr:txBody>
    </xdr:sp>
    <xdr:clientData/>
  </xdr:twoCellAnchor>
  <xdr:twoCellAnchor>
    <xdr:from>
      <xdr:col>0</xdr:col>
      <xdr:colOff>0</xdr:colOff>
      <xdr:row>2</xdr:row>
      <xdr:rowOff>9360</xdr:rowOff>
    </xdr:from>
    <xdr:to>
      <xdr:col>1</xdr:col>
      <xdr:colOff>2079360</xdr:colOff>
      <xdr:row>3</xdr:row>
      <xdr:rowOff>190800</xdr:rowOff>
    </xdr:to>
    <xdr:sp macro="" textlink="">
      <xdr:nvSpPr>
        <xdr:cNvPr id="4" name="Line 1">
          <a:extLst>
            <a:ext uri="{FF2B5EF4-FFF2-40B4-BE49-F238E27FC236}">
              <a16:creationId xmlns:a16="http://schemas.microsoft.com/office/drawing/2014/main" id="{123CA909-E579-49E9-A150-28CAECCDDB4E}"/>
            </a:ext>
          </a:extLst>
        </xdr:cNvPr>
        <xdr:cNvSpPr/>
      </xdr:nvSpPr>
      <xdr:spPr>
        <a:xfrm>
          <a:off x="0" y="657060"/>
          <a:ext cx="217842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1228680</xdr:colOff>
      <xdr:row>21</xdr:row>
      <xdr:rowOff>0</xdr:rowOff>
    </xdr:from>
    <xdr:to>
      <xdr:col>1</xdr:col>
      <xdr:colOff>1571400</xdr:colOff>
      <xdr:row>21</xdr:row>
      <xdr:rowOff>360</xdr:rowOff>
    </xdr:to>
    <xdr:sp macro="" textlink="">
      <xdr:nvSpPr>
        <xdr:cNvPr id="5" name="CustomShape 1">
          <a:extLst>
            <a:ext uri="{FF2B5EF4-FFF2-40B4-BE49-F238E27FC236}">
              <a16:creationId xmlns:a16="http://schemas.microsoft.com/office/drawing/2014/main" id="{D2537B18-B620-4C10-A083-79782BDD3EC7}"/>
            </a:ext>
          </a:extLst>
        </xdr:cNvPr>
        <xdr:cNvSpPr/>
      </xdr:nvSpPr>
      <xdr:spPr>
        <a:xfrm>
          <a:off x="1365840" y="4533900"/>
          <a:ext cx="342720" cy="360"/>
        </a:xfrm>
        <a:prstGeom prst="rect">
          <a:avLst/>
        </a:prstGeom>
        <a:noFill/>
        <a:ln>
          <a:noFill/>
        </a:ln>
      </xdr:spPr>
      <xdr:style>
        <a:lnRef idx="0">
          <a:scrgbClr r="0" g="0" b="0"/>
        </a:lnRef>
        <a:fillRef idx="0">
          <a:scrgbClr r="0" g="0" b="0"/>
        </a:fillRef>
        <a:effectRef idx="0">
          <a:scrgbClr r="0" g="0" b="0"/>
        </a:effectRef>
        <a:fontRef idx="minor"/>
      </xdr:style>
      <xdr:txBody>
        <a:bodyPr lIns="45720" tIns="32040" rIns="0" bIns="0">
          <a:noAutofit/>
        </a:bodyPr>
        <a:lstStyle/>
        <a:p>
          <a:pPr>
            <a:lnSpc>
              <a:spcPct val="100000"/>
            </a:lnSpc>
          </a:pPr>
          <a:endParaRPr lang="en-US" sz="24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20015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0</xdr:colOff>
      <xdr:row>32</xdr:row>
      <xdr:rowOff>9525</xdr:rowOff>
    </xdr:from>
    <xdr:to>
      <xdr:col>3</xdr:col>
      <xdr:colOff>0</xdr:colOff>
      <xdr:row>34</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0" y="6181725"/>
          <a:ext cx="2057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3</xdr:col>
      <xdr:colOff>4770</xdr:colOff>
      <xdr:row>5</xdr:row>
      <xdr:rowOff>1809</xdr:rowOff>
    </xdr:to>
    <xdr:sp macro="" textlink="">
      <xdr:nvSpPr>
        <xdr:cNvPr id="4" name="Line 1">
          <a:extLst>
            <a:ext uri="{FF2B5EF4-FFF2-40B4-BE49-F238E27FC236}">
              <a16:creationId xmlns:a16="http://schemas.microsoft.com/office/drawing/2014/main" id="{99CE6166-BE30-4222-8046-529B9F8D885F}"/>
            </a:ext>
          </a:extLst>
        </xdr:cNvPr>
        <xdr:cNvSpPr/>
      </xdr:nvSpPr>
      <xdr:spPr>
        <a:xfrm>
          <a:off x="0" y="1112520"/>
          <a:ext cx="182250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txBody>
        <a:bodyPr lIns="90000" tIns="45000" rIns="90000" bIns="45000" anchorCtr="1">
          <a:noAutofit/>
        </a:bodyPr>
        <a:lstStyle/>
        <a:p>
          <a:pPr>
            <a:lnSpc>
              <a:spcPct val="100000"/>
            </a:lnSpc>
          </a:pPr>
          <a:endParaRPr lang="en-US" sz="1200" b="0" strike="noStrike" spc="-1">
            <a:latin typeface="Times New Roman"/>
          </a:endParaRPr>
        </a:p>
        <a:p>
          <a:pPr>
            <a:lnSpc>
              <a:spcPct val="100000"/>
            </a:lnSpc>
          </a:pPr>
          <a:endParaRPr lang="en-US" sz="1200" b="0" strike="noStrike" spc="-1">
            <a:latin typeface="Times New Roman"/>
          </a:endParaRPr>
        </a:p>
        <a:p>
          <a:pPr>
            <a:lnSpc>
              <a:spcPct val="100000"/>
            </a:lnSpc>
          </a:pPr>
          <a:endParaRPr lang="en-US" sz="1200" b="0" strike="noStrike" spc="-1">
            <a:latin typeface="Times New Roman"/>
          </a:endParaRPr>
        </a:p>
      </xdr:txBody>
    </xdr:sp>
    <xdr:clientData/>
  </xdr:twoCellAnchor>
  <xdr:twoCellAnchor>
    <xdr:from>
      <xdr:col>0</xdr:col>
      <xdr:colOff>0</xdr:colOff>
      <xdr:row>32</xdr:row>
      <xdr:rowOff>9360</xdr:rowOff>
    </xdr:from>
    <xdr:to>
      <xdr:col>3</xdr:col>
      <xdr:colOff>4770</xdr:colOff>
      <xdr:row>34</xdr:row>
      <xdr:rowOff>1809</xdr:rowOff>
    </xdr:to>
    <xdr:sp macro="" textlink="">
      <xdr:nvSpPr>
        <xdr:cNvPr id="5" name="Line 1">
          <a:extLst>
            <a:ext uri="{FF2B5EF4-FFF2-40B4-BE49-F238E27FC236}">
              <a16:creationId xmlns:a16="http://schemas.microsoft.com/office/drawing/2014/main" id="{6243479C-447F-40BC-BDFE-7F92CB6D4A47}"/>
            </a:ext>
          </a:extLst>
        </xdr:cNvPr>
        <xdr:cNvSpPr/>
      </xdr:nvSpPr>
      <xdr:spPr>
        <a:xfrm>
          <a:off x="0" y="5853900"/>
          <a:ext cx="18225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10287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3</xdr:col>
      <xdr:colOff>0</xdr:colOff>
      <xdr:row>21</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37719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2</xdr:col>
      <xdr:colOff>62280</xdr:colOff>
      <xdr:row>4</xdr:row>
      <xdr:rowOff>190440</xdr:rowOff>
    </xdr:to>
    <xdr:sp macro="" textlink="">
      <xdr:nvSpPr>
        <xdr:cNvPr id="4" name="Line 1">
          <a:extLst>
            <a:ext uri="{FF2B5EF4-FFF2-40B4-BE49-F238E27FC236}">
              <a16:creationId xmlns:a16="http://schemas.microsoft.com/office/drawing/2014/main" id="{A4B2DC83-DEDE-45CD-B9FE-CFF8A6B3CD59}"/>
            </a:ext>
          </a:extLst>
        </xdr:cNvPr>
        <xdr:cNvSpPr/>
      </xdr:nvSpPr>
      <xdr:spPr>
        <a:xfrm>
          <a:off x="0" y="777240"/>
          <a:ext cx="183774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19</xdr:row>
      <xdr:rowOff>0</xdr:rowOff>
    </xdr:from>
    <xdr:to>
      <xdr:col>2</xdr:col>
      <xdr:colOff>62280</xdr:colOff>
      <xdr:row>20</xdr:row>
      <xdr:rowOff>190440</xdr:rowOff>
    </xdr:to>
    <xdr:sp macro="" textlink="">
      <xdr:nvSpPr>
        <xdr:cNvPr id="5" name="Line 1">
          <a:extLst>
            <a:ext uri="{FF2B5EF4-FFF2-40B4-BE49-F238E27FC236}">
              <a16:creationId xmlns:a16="http://schemas.microsoft.com/office/drawing/2014/main" id="{CD47FD21-622D-4803-BA86-7FF101AE798D}"/>
            </a:ext>
          </a:extLst>
        </xdr:cNvPr>
        <xdr:cNvSpPr/>
      </xdr:nvSpPr>
      <xdr:spPr>
        <a:xfrm>
          <a:off x="0" y="4206240"/>
          <a:ext cx="183774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9525</xdr:rowOff>
    </xdr:from>
    <xdr:to>
      <xdr:col>4</xdr:col>
      <xdr:colOff>0</xdr:colOff>
      <xdr:row>20</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0" y="3781425"/>
          <a:ext cx="27432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18720</xdr:rowOff>
    </xdr:from>
    <xdr:to>
      <xdr:col>4</xdr:col>
      <xdr:colOff>9360</xdr:colOff>
      <xdr:row>4</xdr:row>
      <xdr:rowOff>190440</xdr:rowOff>
    </xdr:to>
    <xdr:sp macro="" textlink="">
      <xdr:nvSpPr>
        <xdr:cNvPr id="4" name="Line 1">
          <a:extLst>
            <a:ext uri="{FF2B5EF4-FFF2-40B4-BE49-F238E27FC236}">
              <a16:creationId xmlns:a16="http://schemas.microsoft.com/office/drawing/2014/main" id="{8B68713F-CB7B-4014-9BEB-22F26D098D7F}"/>
            </a:ext>
          </a:extLst>
        </xdr:cNvPr>
        <xdr:cNvSpPr/>
      </xdr:nvSpPr>
      <xdr:spPr>
        <a:xfrm>
          <a:off x="0" y="963600"/>
          <a:ext cx="184578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18</xdr:row>
      <xdr:rowOff>9360</xdr:rowOff>
    </xdr:from>
    <xdr:to>
      <xdr:col>3</xdr:col>
      <xdr:colOff>62280</xdr:colOff>
      <xdr:row>19</xdr:row>
      <xdr:rowOff>190800</xdr:rowOff>
    </xdr:to>
    <xdr:sp macro="" textlink="">
      <xdr:nvSpPr>
        <xdr:cNvPr id="5" name="Line 1">
          <a:extLst>
            <a:ext uri="{FF2B5EF4-FFF2-40B4-BE49-F238E27FC236}">
              <a16:creationId xmlns:a16="http://schemas.microsoft.com/office/drawing/2014/main" id="{45E7FA7E-FD1B-4531-A9B9-09C5FAD31BA3}"/>
            </a:ext>
          </a:extLst>
        </xdr:cNvPr>
        <xdr:cNvSpPr/>
      </xdr:nvSpPr>
      <xdr:spPr>
        <a:xfrm>
          <a:off x="0" y="3811740"/>
          <a:ext cx="183774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4</xdr:col>
      <xdr:colOff>9525</xdr:colOff>
      <xdr:row>17</xdr:row>
      <xdr:rowOff>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0" y="32766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18720</xdr:rowOff>
    </xdr:from>
    <xdr:to>
      <xdr:col>4</xdr:col>
      <xdr:colOff>9360</xdr:colOff>
      <xdr:row>4</xdr:row>
      <xdr:rowOff>190440</xdr:rowOff>
    </xdr:to>
    <xdr:sp macro="" textlink="">
      <xdr:nvSpPr>
        <xdr:cNvPr id="4" name="Line 1">
          <a:extLst>
            <a:ext uri="{FF2B5EF4-FFF2-40B4-BE49-F238E27FC236}">
              <a16:creationId xmlns:a16="http://schemas.microsoft.com/office/drawing/2014/main" id="{E2E84095-B1F2-4E32-8E9F-E16ACDB49BD1}"/>
            </a:ext>
          </a:extLst>
        </xdr:cNvPr>
        <xdr:cNvSpPr/>
      </xdr:nvSpPr>
      <xdr:spPr>
        <a:xfrm>
          <a:off x="0" y="963600"/>
          <a:ext cx="184578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15</xdr:row>
      <xdr:rowOff>18720</xdr:rowOff>
    </xdr:from>
    <xdr:to>
      <xdr:col>4</xdr:col>
      <xdr:colOff>9360</xdr:colOff>
      <xdr:row>16</xdr:row>
      <xdr:rowOff>190440</xdr:rowOff>
    </xdr:to>
    <xdr:sp macro="" textlink="">
      <xdr:nvSpPr>
        <xdr:cNvPr id="5" name="Line 1">
          <a:extLst>
            <a:ext uri="{FF2B5EF4-FFF2-40B4-BE49-F238E27FC236}">
              <a16:creationId xmlns:a16="http://schemas.microsoft.com/office/drawing/2014/main" id="{C0B5FEDE-ECF6-4AEA-8619-1FFAF4512231}"/>
            </a:ext>
          </a:extLst>
        </xdr:cNvPr>
        <xdr:cNvSpPr/>
      </xdr:nvSpPr>
      <xdr:spPr>
        <a:xfrm>
          <a:off x="0" y="3249600"/>
          <a:ext cx="184578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438150</xdr:colOff>
      <xdr:row>7</xdr:row>
      <xdr:rowOff>9525</xdr:rowOff>
    </xdr:to>
    <xdr:sp macro="" textlink="">
      <xdr:nvSpPr>
        <xdr:cNvPr id="2" name="Line 4">
          <a:extLst>
            <a:ext uri="{FF2B5EF4-FFF2-40B4-BE49-F238E27FC236}">
              <a16:creationId xmlns:a16="http://schemas.microsoft.com/office/drawing/2014/main" id="{58850922-8C9B-4E36-BB7E-20FE2311AC0C}"/>
            </a:ext>
          </a:extLst>
        </xdr:cNvPr>
        <xdr:cNvSpPr>
          <a:spLocks noChangeShapeType="1"/>
        </xdr:cNvSpPr>
      </xdr:nvSpPr>
      <xdr:spPr bwMode="auto">
        <a:xfrm>
          <a:off x="9525" y="1038225"/>
          <a:ext cx="4286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180975</xdr:rowOff>
    </xdr:from>
    <xdr:to>
      <xdr:col>1</xdr:col>
      <xdr:colOff>0</xdr:colOff>
      <xdr:row>5</xdr:row>
      <xdr:rowOff>0</xdr:rowOff>
    </xdr:to>
    <xdr:sp macro="" textlink="">
      <xdr:nvSpPr>
        <xdr:cNvPr id="2" name="Line 4">
          <a:extLst>
            <a:ext uri="{FF2B5EF4-FFF2-40B4-BE49-F238E27FC236}">
              <a16:creationId xmlns:a16="http://schemas.microsoft.com/office/drawing/2014/main" id="{811950D6-F300-4A4A-988B-9738D5A603E5}"/>
            </a:ext>
          </a:extLst>
        </xdr:cNvPr>
        <xdr:cNvSpPr>
          <a:spLocks noChangeShapeType="1"/>
        </xdr:cNvSpPr>
      </xdr:nvSpPr>
      <xdr:spPr bwMode="auto">
        <a:xfrm>
          <a:off x="0" y="685800"/>
          <a:ext cx="6858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180720</xdr:rowOff>
    </xdr:from>
    <xdr:to>
      <xdr:col>0</xdr:col>
      <xdr:colOff>511560</xdr:colOff>
      <xdr:row>4</xdr:row>
      <xdr:rowOff>163800</xdr:rowOff>
    </xdr:to>
    <xdr:sp macro="" textlink="">
      <xdr:nvSpPr>
        <xdr:cNvPr id="3" name="Line 1">
          <a:extLst>
            <a:ext uri="{FF2B5EF4-FFF2-40B4-BE49-F238E27FC236}">
              <a16:creationId xmlns:a16="http://schemas.microsoft.com/office/drawing/2014/main" id="{8D7647DE-04D8-408B-A4E7-72A8A8288D77}"/>
            </a:ext>
          </a:extLst>
        </xdr:cNvPr>
        <xdr:cNvSpPr/>
      </xdr:nvSpPr>
      <xdr:spPr>
        <a:xfrm>
          <a:off x="0" y="683640"/>
          <a:ext cx="503940" cy="745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4">
          <a:extLst>
            <a:ext uri="{FF2B5EF4-FFF2-40B4-BE49-F238E27FC236}">
              <a16:creationId xmlns:a16="http://schemas.microsoft.com/office/drawing/2014/main" id="{D02A0211-0D91-4B7D-9D80-69BF32592B53}"/>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5</xdr:row>
      <xdr:rowOff>0</xdr:rowOff>
    </xdr:to>
    <xdr:sp macro="" textlink="">
      <xdr:nvSpPr>
        <xdr:cNvPr id="3" name="Line 4">
          <a:extLst>
            <a:ext uri="{FF2B5EF4-FFF2-40B4-BE49-F238E27FC236}">
              <a16:creationId xmlns:a16="http://schemas.microsoft.com/office/drawing/2014/main" id="{1A0A3710-9A4E-45AC-93C0-8C3208ECE76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496440</xdr:colOff>
      <xdr:row>4</xdr:row>
      <xdr:rowOff>201960</xdr:rowOff>
    </xdr:to>
    <xdr:sp macro="" textlink="">
      <xdr:nvSpPr>
        <xdr:cNvPr id="4" name="Line 1">
          <a:extLst>
            <a:ext uri="{FF2B5EF4-FFF2-40B4-BE49-F238E27FC236}">
              <a16:creationId xmlns:a16="http://schemas.microsoft.com/office/drawing/2014/main" id="{0403B3F2-7F96-491E-9990-AC2449417D1B}"/>
            </a:ext>
          </a:extLst>
        </xdr:cNvPr>
        <xdr:cNvSpPr/>
      </xdr:nvSpPr>
      <xdr:spPr>
        <a:xfrm>
          <a:off x="9360" y="893280"/>
          <a:ext cx="479460" cy="58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9360</xdr:rowOff>
    </xdr:from>
    <xdr:to>
      <xdr:col>0</xdr:col>
      <xdr:colOff>496440</xdr:colOff>
      <xdr:row>4</xdr:row>
      <xdr:rowOff>201960</xdr:rowOff>
    </xdr:to>
    <xdr:sp macro="" textlink="">
      <xdr:nvSpPr>
        <xdr:cNvPr id="5" name="Line 1">
          <a:extLst>
            <a:ext uri="{FF2B5EF4-FFF2-40B4-BE49-F238E27FC236}">
              <a16:creationId xmlns:a16="http://schemas.microsoft.com/office/drawing/2014/main" id="{8414100E-26E2-4742-8318-728BFF64B7CF}"/>
            </a:ext>
          </a:extLst>
        </xdr:cNvPr>
        <xdr:cNvSpPr/>
      </xdr:nvSpPr>
      <xdr:spPr>
        <a:xfrm>
          <a:off x="9360" y="893280"/>
          <a:ext cx="479460" cy="58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6CD3D-40DE-4EB0-8CAC-1A3E1759E197}">
  <dimension ref="A1:IR100"/>
  <sheetViews>
    <sheetView tabSelected="1" view="pageBreakPreview" zoomScale="85" zoomScaleNormal="100" zoomScaleSheetLayoutView="85" workbookViewId="0">
      <selection activeCell="N15" sqref="N15"/>
    </sheetView>
  </sheetViews>
  <sheetFormatPr defaultColWidth="10.109375" defaultRowHeight="13.2"/>
  <cols>
    <col min="1" max="1" width="7.88671875" style="1" customWidth="1"/>
    <col min="2" max="2" width="10.21875" style="1" customWidth="1"/>
    <col min="3" max="3" width="10.33203125" style="1" customWidth="1"/>
    <col min="4" max="4" width="9.6640625" style="1" customWidth="1"/>
    <col min="5" max="5" width="11.6640625" style="1" customWidth="1"/>
    <col min="6" max="6" width="9.6640625" style="1" customWidth="1"/>
    <col min="7" max="7" width="9" style="1" customWidth="1"/>
    <col min="8" max="8" width="9.6640625" style="2" customWidth="1"/>
    <col min="9" max="9" width="8" style="1" customWidth="1"/>
    <col min="10" max="10" width="1" style="1" customWidth="1"/>
    <col min="11" max="16384" width="10.109375" style="1"/>
  </cols>
  <sheetData>
    <row r="1" spans="1:252" s="24" customFormat="1" ht="79.5" customHeight="1">
      <c r="A1" s="123" t="s">
        <v>293</v>
      </c>
      <c r="B1" s="124"/>
      <c r="C1" s="124"/>
      <c r="D1" s="124"/>
      <c r="E1" s="124"/>
      <c r="F1" s="124"/>
      <c r="G1" s="124"/>
      <c r="H1" s="125"/>
      <c r="I1" s="126"/>
      <c r="J1" s="127"/>
    </row>
    <row r="2" spans="1:252">
      <c r="A2" s="20"/>
      <c r="B2" s="20"/>
      <c r="C2" s="20"/>
      <c r="D2" s="10" t="s">
        <v>294</v>
      </c>
      <c r="F2" s="20"/>
      <c r="G2" s="20"/>
      <c r="H2" s="21"/>
    </row>
    <row r="3" spans="1:252">
      <c r="B3" s="20"/>
      <c r="C3" s="20"/>
      <c r="E3" s="20"/>
      <c r="F3" s="20"/>
      <c r="G3" s="20"/>
      <c r="H3" s="21"/>
    </row>
    <row r="4" spans="1:252" ht="24.9" customHeight="1">
      <c r="A4" s="23"/>
      <c r="B4" s="20"/>
      <c r="C4" s="20"/>
      <c r="D4" s="20"/>
      <c r="E4" s="20"/>
      <c r="F4" s="20"/>
      <c r="G4" s="20"/>
      <c r="H4" s="21"/>
    </row>
    <row r="5" spans="1:252" ht="24.9" customHeight="1"/>
    <row r="6" spans="1:252" s="19" customFormat="1" ht="15" customHeight="1" thickBot="1">
      <c r="A6" s="122" t="s">
        <v>295</v>
      </c>
      <c r="B6" s="18"/>
      <c r="C6" s="18"/>
      <c r="D6" s="20"/>
      <c r="E6" s="20"/>
      <c r="F6" s="20"/>
      <c r="G6" s="20"/>
      <c r="H6" s="21"/>
      <c r="I6" s="20"/>
      <c r="J6" s="2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pans="1:252" s="15" customFormat="1" ht="12.9" customHeight="1" thickTop="1" thickBot="1">
      <c r="D7" s="18"/>
      <c r="E7" s="18"/>
      <c r="H7" s="17"/>
      <c r="J7" s="16" t="s">
        <v>296</v>
      </c>
    </row>
    <row r="8" spans="1:252" s="3" customFormat="1" ht="15.75" customHeight="1" thickTop="1">
      <c r="A8" s="128" t="s">
        <v>89</v>
      </c>
      <c r="B8" s="129" t="s">
        <v>297</v>
      </c>
      <c r="C8" s="129" t="s">
        <v>17</v>
      </c>
      <c r="D8" s="129" t="s">
        <v>16</v>
      </c>
      <c r="E8" s="129" t="s">
        <v>15</v>
      </c>
      <c r="F8" s="129" t="s">
        <v>14</v>
      </c>
      <c r="G8" s="130" t="s">
        <v>13</v>
      </c>
      <c r="H8" s="131" t="s">
        <v>298</v>
      </c>
      <c r="I8" s="652" t="s">
        <v>12</v>
      </c>
      <c r="J8" s="653"/>
    </row>
    <row r="9" spans="1:252" s="3" customFormat="1" ht="14.1" customHeight="1">
      <c r="A9" s="132"/>
      <c r="B9" s="133" t="s">
        <v>6</v>
      </c>
      <c r="C9" s="133" t="s">
        <v>11</v>
      </c>
      <c r="D9" s="133" t="s">
        <v>10</v>
      </c>
      <c r="E9" s="133" t="s">
        <v>9</v>
      </c>
      <c r="F9" s="133" t="s">
        <v>8</v>
      </c>
      <c r="G9" s="134" t="s">
        <v>7</v>
      </c>
      <c r="H9" s="14" t="s">
        <v>6</v>
      </c>
      <c r="I9" s="654"/>
      <c r="J9" s="655"/>
    </row>
    <row r="10" spans="1:252" s="3" customFormat="1" ht="15.75" customHeight="1">
      <c r="A10" s="135" t="s">
        <v>299</v>
      </c>
      <c r="B10" s="136" t="s">
        <v>300</v>
      </c>
      <c r="C10" s="136" t="s">
        <v>4</v>
      </c>
      <c r="D10" s="136" t="s">
        <v>5</v>
      </c>
      <c r="E10" s="136" t="s">
        <v>4</v>
      </c>
      <c r="F10" s="136" t="s">
        <v>300</v>
      </c>
      <c r="G10" s="136" t="s">
        <v>3</v>
      </c>
      <c r="H10" s="137" t="s">
        <v>300</v>
      </c>
      <c r="I10" s="656" t="s">
        <v>2</v>
      </c>
      <c r="J10" s="657"/>
    </row>
    <row r="11" spans="1:252" s="3" customFormat="1" ht="12.9" customHeight="1">
      <c r="A11" s="138" t="s">
        <v>88</v>
      </c>
      <c r="B11" s="139">
        <v>318645</v>
      </c>
      <c r="C11" s="140">
        <v>461728</v>
      </c>
      <c r="D11" s="141">
        <v>53687</v>
      </c>
      <c r="E11" s="142">
        <v>77794</v>
      </c>
      <c r="F11" s="141">
        <v>111059</v>
      </c>
      <c r="G11" s="143">
        <v>57.6</v>
      </c>
      <c r="H11" s="144">
        <v>334251</v>
      </c>
      <c r="I11" s="145">
        <v>4.8975390459046899</v>
      </c>
      <c r="J11" s="146"/>
    </row>
    <row r="12" spans="1:252" s="3" customFormat="1" ht="12.9" customHeight="1">
      <c r="A12" s="138"/>
      <c r="B12" s="141"/>
      <c r="C12" s="142"/>
      <c r="D12" s="141"/>
      <c r="E12" s="142"/>
      <c r="F12" s="141"/>
      <c r="G12" s="143"/>
      <c r="H12" s="144"/>
      <c r="I12" s="145"/>
      <c r="J12" s="146"/>
    </row>
    <row r="13" spans="1:252" s="3" customFormat="1" ht="12.9" customHeight="1">
      <c r="A13" s="147" t="s">
        <v>87</v>
      </c>
      <c r="B13" s="148">
        <v>75025</v>
      </c>
      <c r="C13" s="149">
        <v>1104755</v>
      </c>
      <c r="D13" s="148">
        <v>21641</v>
      </c>
      <c r="E13" s="149">
        <v>318667</v>
      </c>
      <c r="F13" s="148">
        <v>4868</v>
      </c>
      <c r="G13" s="150">
        <v>50.9</v>
      </c>
      <c r="H13" s="151">
        <v>69555</v>
      </c>
      <c r="I13" s="152">
        <v>-7.2907185057193598</v>
      </c>
      <c r="J13" s="153"/>
    </row>
    <row r="14" spans="1:252" s="3" customFormat="1" ht="12.9" customHeight="1">
      <c r="A14" s="147" t="s">
        <v>86</v>
      </c>
      <c r="B14" s="148">
        <v>147060</v>
      </c>
      <c r="C14" s="149">
        <v>844813</v>
      </c>
      <c r="D14" s="148">
        <v>36649</v>
      </c>
      <c r="E14" s="149">
        <v>210537</v>
      </c>
      <c r="F14" s="148">
        <v>23000</v>
      </c>
      <c r="G14" s="150">
        <v>48.9</v>
      </c>
      <c r="H14" s="151">
        <v>131990</v>
      </c>
      <c r="I14" s="152">
        <v>-10.2477017379244</v>
      </c>
      <c r="J14" s="153"/>
    </row>
    <row r="15" spans="1:252" s="3" customFormat="1" ht="12.9" customHeight="1">
      <c r="A15" s="147" t="s">
        <v>1</v>
      </c>
      <c r="B15" s="148">
        <v>163664</v>
      </c>
      <c r="C15" s="149">
        <v>625591</v>
      </c>
      <c r="D15" s="148">
        <v>91312</v>
      </c>
      <c r="E15" s="149">
        <v>349032</v>
      </c>
      <c r="F15" s="148">
        <v>1500</v>
      </c>
      <c r="G15" s="150">
        <v>68.3</v>
      </c>
      <c r="H15" s="151">
        <v>184473</v>
      </c>
      <c r="I15" s="154">
        <v>12.714982922614899</v>
      </c>
      <c r="J15" s="153"/>
    </row>
    <row r="16" spans="1:252" s="3" customFormat="1" ht="12.9" customHeight="1">
      <c r="A16" s="147" t="s">
        <v>85</v>
      </c>
      <c r="B16" s="148">
        <v>169907</v>
      </c>
      <c r="C16" s="149">
        <v>490665</v>
      </c>
      <c r="D16" s="148">
        <v>52972</v>
      </c>
      <c r="E16" s="149">
        <v>152975</v>
      </c>
      <c r="F16" s="148">
        <v>30283</v>
      </c>
      <c r="G16" s="150">
        <v>58.6</v>
      </c>
      <c r="H16" s="151">
        <v>184179</v>
      </c>
      <c r="I16" s="154">
        <v>8.4001348173585697</v>
      </c>
      <c r="J16" s="153"/>
    </row>
    <row r="17" spans="1:10" s="3" customFormat="1" ht="12.9" customHeight="1">
      <c r="A17" s="147" t="s">
        <v>84</v>
      </c>
      <c r="B17" s="148">
        <v>116340</v>
      </c>
      <c r="C17" s="149">
        <v>506590</v>
      </c>
      <c r="D17" s="148">
        <v>38572</v>
      </c>
      <c r="E17" s="149">
        <v>167958</v>
      </c>
      <c r="F17" s="148">
        <v>22800</v>
      </c>
      <c r="G17" s="150">
        <v>60.1</v>
      </c>
      <c r="H17" s="151">
        <v>127189</v>
      </c>
      <c r="I17" s="154">
        <v>9.3257964932849493</v>
      </c>
      <c r="J17" s="153"/>
    </row>
    <row r="18" spans="1:10" s="3" customFormat="1" ht="12.9" customHeight="1">
      <c r="A18" s="147"/>
      <c r="B18" s="148"/>
      <c r="D18" s="148"/>
      <c r="F18" s="148"/>
      <c r="G18" s="150"/>
      <c r="H18" s="151"/>
      <c r="I18" s="154"/>
      <c r="J18" s="153"/>
    </row>
    <row r="19" spans="1:10" s="3" customFormat="1" ht="12.9" customHeight="1">
      <c r="A19" s="147" t="s">
        <v>83</v>
      </c>
      <c r="B19" s="148">
        <v>109970</v>
      </c>
      <c r="C19" s="149">
        <v>530030</v>
      </c>
      <c r="D19" s="148">
        <v>25060</v>
      </c>
      <c r="E19" s="149">
        <v>120783</v>
      </c>
      <c r="F19" s="148">
        <v>29700</v>
      </c>
      <c r="G19" s="150">
        <v>57</v>
      </c>
      <c r="H19" s="151">
        <v>118298</v>
      </c>
      <c r="I19" s="154">
        <v>7.5732408873798098</v>
      </c>
      <c r="J19" s="153"/>
    </row>
    <row r="20" spans="1:10" s="3" customFormat="1" ht="12.9" customHeight="1">
      <c r="A20" s="147" t="s">
        <v>82</v>
      </c>
      <c r="B20" s="148">
        <v>129028</v>
      </c>
      <c r="C20" s="149">
        <v>460839</v>
      </c>
      <c r="D20" s="148">
        <v>28034</v>
      </c>
      <c r="E20" s="149">
        <v>100127</v>
      </c>
      <c r="F20" s="148">
        <v>42560</v>
      </c>
      <c r="G20" s="150">
        <v>60.7</v>
      </c>
      <c r="H20" s="151">
        <v>137122</v>
      </c>
      <c r="I20" s="154">
        <v>6.2728315077220698</v>
      </c>
      <c r="J20" s="153"/>
    </row>
    <row r="21" spans="1:10" s="3" customFormat="1" ht="12.9" customHeight="1">
      <c r="A21" s="147" t="s">
        <v>81</v>
      </c>
      <c r="B21" s="148">
        <v>236770</v>
      </c>
      <c r="C21" s="149">
        <v>444320</v>
      </c>
      <c r="D21" s="148">
        <v>58824</v>
      </c>
      <c r="E21" s="149">
        <v>110388</v>
      </c>
      <c r="F21" s="148">
        <v>62333</v>
      </c>
      <c r="G21" s="150">
        <v>58.8</v>
      </c>
      <c r="H21" s="151">
        <v>254272</v>
      </c>
      <c r="I21" s="154">
        <v>7.3919914783714802</v>
      </c>
      <c r="J21" s="153"/>
    </row>
    <row r="22" spans="1:10" s="3" customFormat="1" ht="12.9" customHeight="1">
      <c r="A22" s="147" t="s">
        <v>80</v>
      </c>
      <c r="B22" s="148">
        <v>199891</v>
      </c>
      <c r="C22" s="149">
        <v>494540</v>
      </c>
      <c r="D22" s="148">
        <v>54904</v>
      </c>
      <c r="E22" s="149">
        <v>135835</v>
      </c>
      <c r="F22" s="148">
        <v>44900</v>
      </c>
      <c r="G22" s="150">
        <v>57</v>
      </c>
      <c r="H22" s="151">
        <v>204729</v>
      </c>
      <c r="I22" s="154">
        <v>2.42028465252349</v>
      </c>
      <c r="J22" s="153"/>
    </row>
    <row r="23" spans="1:10" s="3" customFormat="1" ht="12.9" customHeight="1">
      <c r="A23" s="147" t="s">
        <v>79</v>
      </c>
      <c r="B23" s="148">
        <v>117599</v>
      </c>
      <c r="C23" s="149">
        <v>422054</v>
      </c>
      <c r="D23" s="148">
        <v>48828</v>
      </c>
      <c r="E23" s="149">
        <v>175240</v>
      </c>
      <c r="F23" s="148">
        <v>17800</v>
      </c>
      <c r="G23" s="150">
        <v>65.099999999999994</v>
      </c>
      <c r="H23" s="151">
        <v>129606</v>
      </c>
      <c r="I23" s="154">
        <v>10.2097916654903</v>
      </c>
      <c r="J23" s="153"/>
    </row>
    <row r="24" spans="1:10" s="3" customFormat="1" ht="12.9" customHeight="1">
      <c r="A24" s="147"/>
      <c r="B24" s="148"/>
      <c r="D24" s="148"/>
      <c r="F24" s="148"/>
      <c r="G24" s="150"/>
      <c r="H24" s="151"/>
      <c r="I24" s="154"/>
      <c r="J24" s="153"/>
    </row>
    <row r="25" spans="1:10" s="3" customFormat="1" ht="12.9" customHeight="1">
      <c r="A25" s="147" t="s">
        <v>78</v>
      </c>
      <c r="B25" s="148">
        <v>314177</v>
      </c>
      <c r="C25" s="149">
        <v>431310</v>
      </c>
      <c r="D25" s="148">
        <v>78437</v>
      </c>
      <c r="E25" s="149">
        <v>107680</v>
      </c>
      <c r="F25" s="148">
        <v>79692</v>
      </c>
      <c r="G25" s="150">
        <v>58.1</v>
      </c>
      <c r="H25" s="151">
        <v>340543</v>
      </c>
      <c r="I25" s="154">
        <v>8.3922755742310091</v>
      </c>
      <c r="J25" s="153"/>
    </row>
    <row r="26" spans="1:10" s="3" customFormat="1" ht="12.9" customHeight="1">
      <c r="A26" s="147" t="s">
        <v>77</v>
      </c>
      <c r="B26" s="148">
        <v>360695</v>
      </c>
      <c r="C26" s="149">
        <v>394013</v>
      </c>
      <c r="D26" s="148">
        <v>133058</v>
      </c>
      <c r="E26" s="149">
        <v>145349</v>
      </c>
      <c r="F26" s="148">
        <v>67791</v>
      </c>
      <c r="G26" s="150">
        <v>64.099999999999994</v>
      </c>
      <c r="H26" s="151">
        <v>370200</v>
      </c>
      <c r="I26" s="154">
        <v>2.6352058680846602</v>
      </c>
      <c r="J26" s="153"/>
    </row>
    <row r="27" spans="1:10" s="3" customFormat="1" ht="12.9" customHeight="1">
      <c r="A27" s="147" t="s">
        <v>76</v>
      </c>
      <c r="B27" s="148">
        <v>112671</v>
      </c>
      <c r="C27" s="149">
        <v>491129</v>
      </c>
      <c r="D27" s="148">
        <v>56926</v>
      </c>
      <c r="E27" s="149">
        <v>248139</v>
      </c>
      <c r="F27" s="148">
        <v>1500</v>
      </c>
      <c r="G27" s="150">
        <v>62.6</v>
      </c>
      <c r="H27" s="151">
        <v>120510</v>
      </c>
      <c r="I27" s="154">
        <v>6.95748864033476</v>
      </c>
      <c r="J27" s="153"/>
    </row>
    <row r="28" spans="1:10" s="3" customFormat="1" ht="12.9" customHeight="1">
      <c r="A28" s="147" t="s">
        <v>75</v>
      </c>
      <c r="B28" s="148">
        <v>204859</v>
      </c>
      <c r="C28" s="149">
        <v>614099</v>
      </c>
      <c r="D28" s="148">
        <v>37705</v>
      </c>
      <c r="E28" s="149">
        <v>113027</v>
      </c>
      <c r="F28" s="148">
        <v>43400</v>
      </c>
      <c r="G28" s="150">
        <v>44.6</v>
      </c>
      <c r="H28" s="151">
        <v>201005</v>
      </c>
      <c r="I28" s="152">
        <v>-1.8812480314540201</v>
      </c>
      <c r="J28" s="153"/>
    </row>
    <row r="29" spans="1:10" s="3" customFormat="1" ht="12.9" customHeight="1">
      <c r="A29" s="147" t="s">
        <v>74</v>
      </c>
      <c r="B29" s="148">
        <v>213883</v>
      </c>
      <c r="C29" s="149">
        <v>374717</v>
      </c>
      <c r="D29" s="148">
        <v>69737</v>
      </c>
      <c r="E29" s="149">
        <v>122177</v>
      </c>
      <c r="F29" s="148">
        <v>49700</v>
      </c>
      <c r="G29" s="150">
        <v>64.3</v>
      </c>
      <c r="H29" s="151">
        <v>221731</v>
      </c>
      <c r="I29" s="154">
        <v>3.6694900281666598</v>
      </c>
      <c r="J29" s="153"/>
    </row>
    <row r="30" spans="1:10" s="3" customFormat="1" ht="12.9" customHeight="1">
      <c r="A30" s="147"/>
      <c r="B30" s="148"/>
      <c r="D30" s="148"/>
      <c r="F30" s="148"/>
      <c r="G30" s="150"/>
      <c r="H30" s="151"/>
      <c r="I30" s="154"/>
      <c r="J30" s="153"/>
    </row>
    <row r="31" spans="1:10" s="3" customFormat="1" ht="12.9" customHeight="1">
      <c r="A31" s="147" t="s">
        <v>73</v>
      </c>
      <c r="B31" s="148">
        <v>140252</v>
      </c>
      <c r="C31" s="149">
        <v>485799</v>
      </c>
      <c r="D31" s="148">
        <v>36782</v>
      </c>
      <c r="E31" s="149">
        <v>127404</v>
      </c>
      <c r="F31" s="148">
        <v>33600</v>
      </c>
      <c r="G31" s="150">
        <v>57.4</v>
      </c>
      <c r="H31" s="151">
        <v>152974</v>
      </c>
      <c r="I31" s="154">
        <v>9.0705912384611693</v>
      </c>
      <c r="J31" s="153"/>
    </row>
    <row r="32" spans="1:10" s="3" customFormat="1" ht="12.9" customHeight="1">
      <c r="A32" s="147" t="s">
        <v>0</v>
      </c>
      <c r="B32" s="148">
        <v>196147</v>
      </c>
      <c r="C32" s="149">
        <v>554507</v>
      </c>
      <c r="D32" s="148">
        <v>34125</v>
      </c>
      <c r="E32" s="149">
        <v>96471</v>
      </c>
      <c r="F32" s="148">
        <v>58000</v>
      </c>
      <c r="G32" s="150">
        <v>52.6</v>
      </c>
      <c r="H32" s="151">
        <v>178524</v>
      </c>
      <c r="I32" s="152">
        <v>-8.9847333300837402</v>
      </c>
      <c r="J32" s="153"/>
    </row>
    <row r="33" spans="1:10" s="3" customFormat="1" ht="12.9" customHeight="1">
      <c r="A33" s="147" t="s">
        <v>72</v>
      </c>
      <c r="B33" s="148">
        <v>112855</v>
      </c>
      <c r="C33" s="149">
        <v>520515</v>
      </c>
      <c r="D33" s="148">
        <v>19763</v>
      </c>
      <c r="E33" s="149">
        <v>91152</v>
      </c>
      <c r="F33" s="148">
        <v>43660</v>
      </c>
      <c r="G33" s="150">
        <v>62.2</v>
      </c>
      <c r="H33" s="151">
        <v>121217</v>
      </c>
      <c r="I33" s="154">
        <v>7.4101199459310996</v>
      </c>
      <c r="J33" s="153"/>
    </row>
    <row r="34" spans="1:10" s="3" customFormat="1" ht="12.9" customHeight="1">
      <c r="A34" s="147" t="s">
        <v>71</v>
      </c>
      <c r="B34" s="148">
        <v>239189</v>
      </c>
      <c r="C34" s="149">
        <v>420929</v>
      </c>
      <c r="D34" s="148">
        <v>50606</v>
      </c>
      <c r="E34" s="149">
        <v>89057</v>
      </c>
      <c r="F34" s="148">
        <v>76200</v>
      </c>
      <c r="G34" s="150">
        <v>59.9</v>
      </c>
      <c r="H34" s="151">
        <v>251633</v>
      </c>
      <c r="I34" s="154">
        <v>5.2025776431054096</v>
      </c>
      <c r="J34" s="153"/>
    </row>
    <row r="35" spans="1:10" s="3" customFormat="1" ht="12.9" customHeight="1">
      <c r="A35" s="147" t="s">
        <v>70</v>
      </c>
      <c r="B35" s="148">
        <v>302525</v>
      </c>
      <c r="C35" s="149">
        <v>409418</v>
      </c>
      <c r="D35" s="148">
        <v>69847</v>
      </c>
      <c r="E35" s="149">
        <v>94527</v>
      </c>
      <c r="F35" s="148">
        <v>92840</v>
      </c>
      <c r="G35" s="150">
        <v>60.5</v>
      </c>
      <c r="H35" s="151">
        <v>319903</v>
      </c>
      <c r="I35" s="154">
        <v>5.7442822206928099</v>
      </c>
      <c r="J35" s="153"/>
    </row>
    <row r="36" spans="1:10" s="3" customFormat="1" ht="12.9" customHeight="1">
      <c r="A36" s="147"/>
      <c r="B36" s="148"/>
      <c r="C36" s="149"/>
      <c r="D36" s="148"/>
      <c r="E36" s="149"/>
      <c r="F36" s="148"/>
      <c r="G36" s="150"/>
      <c r="H36" s="151"/>
      <c r="I36" s="154"/>
      <c r="J36" s="153"/>
    </row>
    <row r="37" spans="1:10" s="3" customFormat="1" ht="12.9" customHeight="1">
      <c r="A37" s="155" t="s">
        <v>301</v>
      </c>
      <c r="B37" s="148">
        <v>257601</v>
      </c>
      <c r="C37" s="149">
        <v>554965</v>
      </c>
      <c r="D37" s="148">
        <v>36339</v>
      </c>
      <c r="E37" s="149">
        <v>78287</v>
      </c>
      <c r="F37" s="148">
        <v>83000</v>
      </c>
      <c r="G37" s="150">
        <v>51.4</v>
      </c>
      <c r="H37" s="151">
        <v>238990</v>
      </c>
      <c r="I37" s="152">
        <v>-7.2245025118559498</v>
      </c>
      <c r="J37" s="153"/>
    </row>
    <row r="38" spans="1:10" s="3" customFormat="1" ht="12.9" customHeight="1">
      <c r="A38" s="147" t="s">
        <v>69</v>
      </c>
      <c r="B38" s="148">
        <v>290358</v>
      </c>
      <c r="C38" s="149">
        <v>421938</v>
      </c>
      <c r="D38" s="148">
        <v>58259</v>
      </c>
      <c r="E38" s="149">
        <v>84660</v>
      </c>
      <c r="F38" s="148">
        <v>103600</v>
      </c>
      <c r="G38" s="150">
        <v>62.6</v>
      </c>
      <c r="H38" s="151">
        <v>318201</v>
      </c>
      <c r="I38" s="152">
        <v>9.5892073527652695</v>
      </c>
      <c r="J38" s="153"/>
    </row>
    <row r="39" spans="1:10" s="3" customFormat="1" ht="12.9" customHeight="1">
      <c r="A39" s="147"/>
      <c r="B39" s="148"/>
      <c r="C39" s="149"/>
      <c r="D39" s="148"/>
      <c r="E39" s="149"/>
      <c r="F39" s="148"/>
      <c r="G39" s="150"/>
      <c r="H39" s="151"/>
      <c r="I39" s="152"/>
      <c r="J39" s="153"/>
    </row>
    <row r="40" spans="1:10" s="3" customFormat="1" ht="12.6" customHeight="1">
      <c r="A40" s="156" t="s">
        <v>302</v>
      </c>
      <c r="B40" s="157">
        <v>4529109</v>
      </c>
      <c r="C40" s="158">
        <v>473300</v>
      </c>
      <c r="D40" s="157">
        <v>1192067</v>
      </c>
      <c r="E40" s="158">
        <v>124573</v>
      </c>
      <c r="F40" s="158">
        <v>1123786</v>
      </c>
      <c r="G40" s="159">
        <v>58.6</v>
      </c>
      <c r="H40" s="160">
        <v>4711096</v>
      </c>
      <c r="I40" s="161">
        <v>4.0181571591992897</v>
      </c>
      <c r="J40" s="162"/>
    </row>
    <row r="41" spans="1:10" s="10" customFormat="1" ht="12" customHeight="1">
      <c r="A41" s="10" t="s">
        <v>303</v>
      </c>
      <c r="H41" s="12"/>
      <c r="I41" s="11"/>
      <c r="J41" s="11"/>
    </row>
    <row r="42" spans="1:10" s="10" customFormat="1" ht="12" customHeight="1">
      <c r="C42" s="10" t="s">
        <v>304</v>
      </c>
      <c r="H42" s="12"/>
      <c r="I42" s="11"/>
      <c r="J42" s="11"/>
    </row>
    <row r="43" spans="1:10" s="10" customFormat="1" ht="12" customHeight="1">
      <c r="C43" s="10" t="s">
        <v>305</v>
      </c>
      <c r="D43" s="120"/>
      <c r="H43" s="12"/>
      <c r="I43" s="11"/>
      <c r="J43" s="11" t="s">
        <v>306</v>
      </c>
    </row>
    <row r="44" spans="1:10" s="10" customFormat="1" ht="9.6">
      <c r="D44" s="13"/>
      <c r="H44" s="12"/>
      <c r="I44" s="11"/>
    </row>
    <row r="45" spans="1:10" s="8" customFormat="1" ht="8.4">
      <c r="H45" s="9"/>
    </row>
    <row r="46" spans="1:10" s="5" customFormat="1" ht="10.8">
      <c r="B46" s="6"/>
      <c r="C46" s="7"/>
      <c r="D46" s="6"/>
      <c r="E46" s="7"/>
      <c r="F46" s="6"/>
      <c r="G46" s="6"/>
      <c r="H46" s="6"/>
      <c r="I46" s="6"/>
    </row>
    <row r="47" spans="1:10" s="3" customFormat="1" ht="10.8">
      <c r="H47" s="4"/>
    </row>
    <row r="48" spans="1:10" s="3" customFormat="1" ht="10.8">
      <c r="H48" s="4"/>
    </row>
    <row r="49" spans="8:8" s="3" customFormat="1" ht="10.8">
      <c r="H49" s="4"/>
    </row>
    <row r="50" spans="8:8" s="3" customFormat="1" ht="10.8">
      <c r="H50" s="4"/>
    </row>
    <row r="51" spans="8:8" s="3" customFormat="1" ht="10.8">
      <c r="H51" s="4"/>
    </row>
    <row r="52" spans="8:8" s="3" customFormat="1" ht="10.8">
      <c r="H52" s="4"/>
    </row>
    <row r="53" spans="8:8" s="3" customFormat="1" ht="10.8">
      <c r="H53" s="4"/>
    </row>
    <row r="54" spans="8:8" s="3" customFormat="1" ht="10.8">
      <c r="H54" s="4"/>
    </row>
    <row r="55" spans="8:8" s="3" customFormat="1" ht="10.8">
      <c r="H55" s="4"/>
    </row>
    <row r="56" spans="8:8" s="3" customFormat="1" ht="10.8">
      <c r="H56" s="4"/>
    </row>
    <row r="57" spans="8:8" s="3" customFormat="1" ht="10.8">
      <c r="H57" s="4"/>
    </row>
    <row r="58" spans="8:8" s="3" customFormat="1" ht="10.8">
      <c r="H58" s="4"/>
    </row>
    <row r="59" spans="8:8" s="3" customFormat="1" ht="10.8">
      <c r="H59" s="4"/>
    </row>
    <row r="60" spans="8:8" s="3" customFormat="1" ht="10.8">
      <c r="H60" s="4"/>
    </row>
    <row r="61" spans="8:8" s="3" customFormat="1" ht="10.8">
      <c r="H61" s="4"/>
    </row>
    <row r="62" spans="8:8" s="3" customFormat="1" ht="10.8">
      <c r="H62" s="4"/>
    </row>
    <row r="63" spans="8:8" s="3" customFormat="1" ht="10.8">
      <c r="H63" s="4"/>
    </row>
    <row r="64" spans="8:8" s="3" customFormat="1" ht="10.8">
      <c r="H64" s="4"/>
    </row>
    <row r="65" spans="8:8" s="3" customFormat="1" ht="10.8">
      <c r="H65" s="4"/>
    </row>
    <row r="66" spans="8:8" s="3" customFormat="1" ht="10.8">
      <c r="H66" s="4"/>
    </row>
    <row r="67" spans="8:8" s="3" customFormat="1" ht="10.8">
      <c r="H67" s="4"/>
    </row>
    <row r="68" spans="8:8" s="3" customFormat="1" ht="10.8">
      <c r="H68" s="4"/>
    </row>
    <row r="69" spans="8:8" s="3" customFormat="1" ht="10.8">
      <c r="H69" s="4"/>
    </row>
    <row r="70" spans="8:8" s="3" customFormat="1" ht="10.8">
      <c r="H70" s="4"/>
    </row>
    <row r="71" spans="8:8" s="3" customFormat="1" ht="10.8">
      <c r="H71" s="4"/>
    </row>
    <row r="72" spans="8:8" s="3" customFormat="1" ht="10.8">
      <c r="H72" s="4"/>
    </row>
    <row r="73" spans="8:8" s="3" customFormat="1" ht="10.8">
      <c r="H73" s="4"/>
    </row>
    <row r="74" spans="8:8" s="3" customFormat="1" ht="10.8">
      <c r="H74" s="4"/>
    </row>
    <row r="75" spans="8:8" s="3" customFormat="1" ht="10.8">
      <c r="H75" s="4"/>
    </row>
    <row r="76" spans="8:8" s="3" customFormat="1" ht="10.8">
      <c r="H76" s="4"/>
    </row>
    <row r="77" spans="8:8" s="3" customFormat="1" ht="10.8">
      <c r="H77" s="4"/>
    </row>
    <row r="78" spans="8:8" s="3" customFormat="1" ht="10.8">
      <c r="H78" s="4"/>
    </row>
    <row r="79" spans="8:8" s="3" customFormat="1" ht="10.8">
      <c r="H79" s="4"/>
    </row>
    <row r="80" spans="8:8" s="3" customFormat="1" ht="10.8">
      <c r="H80" s="4"/>
    </row>
    <row r="81" spans="8:8" s="3" customFormat="1" ht="10.8">
      <c r="H81" s="4"/>
    </row>
    <row r="82" spans="8:8" s="3" customFormat="1" ht="10.8">
      <c r="H82" s="4"/>
    </row>
    <row r="83" spans="8:8" s="3" customFormat="1" ht="10.8">
      <c r="H83" s="4"/>
    </row>
    <row r="84" spans="8:8" s="3" customFormat="1" ht="10.8">
      <c r="H84" s="4"/>
    </row>
    <row r="85" spans="8:8" s="3" customFormat="1" ht="10.8">
      <c r="H85" s="4"/>
    </row>
    <row r="86" spans="8:8" s="3" customFormat="1" ht="10.8">
      <c r="H86" s="4"/>
    </row>
    <row r="87" spans="8:8" s="3" customFormat="1" ht="10.8">
      <c r="H87" s="4"/>
    </row>
    <row r="88" spans="8:8" s="3" customFormat="1" ht="10.8">
      <c r="H88" s="4"/>
    </row>
    <row r="89" spans="8:8" s="3" customFormat="1" ht="10.8">
      <c r="H89" s="4"/>
    </row>
    <row r="90" spans="8:8" s="3" customFormat="1" ht="10.8">
      <c r="H90" s="4"/>
    </row>
    <row r="91" spans="8:8" s="3" customFormat="1" ht="10.8">
      <c r="H91" s="4"/>
    </row>
    <row r="92" spans="8:8" s="3" customFormat="1" ht="10.8">
      <c r="H92" s="4"/>
    </row>
    <row r="93" spans="8:8" s="3" customFormat="1" ht="10.8">
      <c r="H93" s="4"/>
    </row>
    <row r="94" spans="8:8" s="3" customFormat="1" ht="10.8">
      <c r="H94" s="4"/>
    </row>
    <row r="95" spans="8:8" s="3" customFormat="1" ht="10.8">
      <c r="H95" s="4"/>
    </row>
    <row r="96" spans="8:8" s="3" customFormat="1" ht="10.8">
      <c r="H96" s="4"/>
    </row>
    <row r="97" spans="8:8" s="3" customFormat="1" ht="10.8">
      <c r="H97" s="4"/>
    </row>
    <row r="98" spans="8:8" s="3" customFormat="1" ht="10.8">
      <c r="H98" s="4"/>
    </row>
    <row r="99" spans="8:8" s="3" customFormat="1" ht="10.8">
      <c r="H99" s="4"/>
    </row>
    <row r="100" spans="8:8" s="3" customFormat="1" ht="10.8">
      <c r="H100" s="4"/>
    </row>
  </sheetData>
  <mergeCells count="2">
    <mergeCell ref="I8:J9"/>
    <mergeCell ref="I10:J10"/>
  </mergeCells>
  <phoneticPr fontId="3"/>
  <printOptions horizontalCentered="1"/>
  <pageMargins left="0" right="0"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22BD-5F68-4C36-8FCE-12578C47A507}">
  <dimension ref="A1:N11"/>
  <sheetViews>
    <sheetView view="pageBreakPreview" zoomScale="115" zoomScaleNormal="100" zoomScaleSheetLayoutView="115" workbookViewId="0">
      <selection activeCell="B2" sqref="B2:B4"/>
    </sheetView>
  </sheetViews>
  <sheetFormatPr defaultColWidth="9" defaultRowHeight="13.2"/>
  <cols>
    <col min="1" max="1" width="7.109375" style="1" customWidth="1"/>
    <col min="2" max="2" width="5.6640625" style="1" customWidth="1"/>
    <col min="3" max="3" width="7.109375" style="1" customWidth="1"/>
    <col min="4" max="4" width="8.21875" style="1" customWidth="1"/>
    <col min="5" max="5" width="7.109375" style="1" customWidth="1"/>
    <col min="6" max="7" width="6.109375" style="1" customWidth="1"/>
    <col min="8" max="8" width="6.33203125" style="1" customWidth="1"/>
    <col min="9" max="9" width="7.109375" style="1" customWidth="1"/>
    <col min="10" max="10" width="6.33203125" style="1" customWidth="1"/>
    <col min="11" max="11" width="7.109375" style="1" customWidth="1"/>
    <col min="12" max="12" width="6.33203125" style="1" customWidth="1"/>
    <col min="13" max="13" width="8.109375" style="1" customWidth="1"/>
    <col min="14" max="16384" width="9" style="1"/>
  </cols>
  <sheetData>
    <row r="1" spans="1:14" ht="15" customHeight="1" thickBot="1">
      <c r="A1" s="304" t="s">
        <v>104</v>
      </c>
      <c r="B1" s="303"/>
      <c r="C1" s="303"/>
      <c r="D1" s="303"/>
      <c r="E1" s="303"/>
      <c r="F1" s="303"/>
      <c r="G1" s="303"/>
      <c r="H1" s="303"/>
      <c r="I1" s="303"/>
      <c r="J1" s="303"/>
      <c r="K1" s="303"/>
      <c r="L1" s="303"/>
      <c r="M1" s="303"/>
    </row>
    <row r="2" spans="1:14" s="31" customFormat="1" ht="15.9" customHeight="1" thickTop="1" thickBot="1">
      <c r="A2" s="305" t="s">
        <v>89</v>
      </c>
      <c r="B2" s="676" t="s">
        <v>362</v>
      </c>
      <c r="C2" s="306"/>
      <c r="D2" s="306"/>
      <c r="E2" s="306"/>
      <c r="F2" s="676" t="s">
        <v>363</v>
      </c>
      <c r="G2" s="676" t="s">
        <v>364</v>
      </c>
      <c r="H2" s="306"/>
      <c r="I2" s="306"/>
      <c r="J2" s="306"/>
      <c r="K2" s="306"/>
      <c r="L2" s="329"/>
      <c r="M2" s="330"/>
    </row>
    <row r="3" spans="1:14" s="3" customFormat="1" ht="15.9" customHeight="1" thickTop="1" thickBot="1">
      <c r="A3" s="309"/>
      <c r="B3" s="676"/>
      <c r="C3" s="331" t="s">
        <v>29</v>
      </c>
      <c r="D3" s="331" t="s">
        <v>28</v>
      </c>
      <c r="E3" s="331" t="s">
        <v>103</v>
      </c>
      <c r="F3" s="676"/>
      <c r="G3" s="676"/>
      <c r="H3" s="331" t="s">
        <v>102</v>
      </c>
      <c r="I3" s="331" t="s">
        <v>25</v>
      </c>
      <c r="J3" s="331" t="s">
        <v>101</v>
      </c>
      <c r="K3" s="331" t="s">
        <v>24</v>
      </c>
      <c r="L3" s="332" t="s">
        <v>23</v>
      </c>
      <c r="M3" s="333" t="s">
        <v>100</v>
      </c>
    </row>
    <row r="4" spans="1:14" s="3" customFormat="1" ht="15.9" customHeight="1" thickTop="1">
      <c r="A4" s="312" t="s">
        <v>19</v>
      </c>
      <c r="B4" s="676"/>
      <c r="C4" s="313"/>
      <c r="D4" s="313"/>
      <c r="E4" s="313"/>
      <c r="F4" s="676"/>
      <c r="G4" s="676"/>
      <c r="H4" s="313"/>
      <c r="I4" s="313"/>
      <c r="J4" s="313"/>
      <c r="K4" s="313"/>
      <c r="L4" s="334"/>
      <c r="M4" s="335"/>
    </row>
    <row r="5" spans="1:14" s="54" customFormat="1" ht="18" customHeight="1">
      <c r="A5" s="276" t="s">
        <v>352</v>
      </c>
      <c r="B5" s="336">
        <v>900</v>
      </c>
      <c r="C5" s="337">
        <v>27719</v>
      </c>
      <c r="D5" s="337">
        <v>184721</v>
      </c>
      <c r="E5" s="337">
        <v>29122</v>
      </c>
      <c r="F5" s="337">
        <v>273</v>
      </c>
      <c r="G5" s="337">
        <v>93</v>
      </c>
      <c r="H5" s="337">
        <v>2450</v>
      </c>
      <c r="I5" s="337">
        <v>23298</v>
      </c>
      <c r="J5" s="337">
        <v>946</v>
      </c>
      <c r="K5" s="337">
        <v>63566</v>
      </c>
      <c r="L5" s="338">
        <v>4893</v>
      </c>
      <c r="M5" s="339">
        <v>337981</v>
      </c>
      <c r="N5" s="3"/>
    </row>
    <row r="6" spans="1:14" s="54" customFormat="1" ht="18" customHeight="1">
      <c r="A6" s="340">
        <v>4</v>
      </c>
      <c r="B6" s="336">
        <v>920</v>
      </c>
      <c r="C6" s="337">
        <v>25119</v>
      </c>
      <c r="D6" s="337">
        <v>186816</v>
      </c>
      <c r="E6" s="337">
        <v>25464</v>
      </c>
      <c r="F6" s="337">
        <v>761</v>
      </c>
      <c r="G6" s="337">
        <v>85</v>
      </c>
      <c r="H6" s="337">
        <v>4967</v>
      </c>
      <c r="I6" s="337">
        <v>26837</v>
      </c>
      <c r="J6" s="337">
        <v>2779</v>
      </c>
      <c r="K6" s="337">
        <v>49774</v>
      </c>
      <c r="L6" s="338">
        <v>3323</v>
      </c>
      <c r="M6" s="339">
        <v>326844</v>
      </c>
      <c r="N6" s="3"/>
    </row>
    <row r="7" spans="1:14" s="54" customFormat="1" ht="18" customHeight="1">
      <c r="A7" s="341">
        <v>5</v>
      </c>
      <c r="B7" s="342">
        <f>955364/1000</f>
        <v>955.36400000000003</v>
      </c>
      <c r="C7" s="343">
        <f>18516015/1000</f>
        <v>18516.014999999999</v>
      </c>
      <c r="D7" s="343">
        <f>193416140/1000</f>
        <v>193416.14</v>
      </c>
      <c r="E7" s="343">
        <f>20919811/1000</f>
        <v>20919.811000000002</v>
      </c>
      <c r="F7" s="343">
        <f>281173/1000</f>
        <v>281.173</v>
      </c>
      <c r="G7" s="343">
        <f>93996/1000</f>
        <v>93.995999999999995</v>
      </c>
      <c r="H7" s="343">
        <f>5251316/1000</f>
        <v>5251.3159999999998</v>
      </c>
      <c r="I7" s="343">
        <f>22995222/1000</f>
        <v>22995.222000000002</v>
      </c>
      <c r="J7" s="343">
        <f>1077370/1000</f>
        <v>1077.3699999999999</v>
      </c>
      <c r="K7" s="343">
        <f>50145040/1000</f>
        <v>50145.04</v>
      </c>
      <c r="L7" s="344">
        <f>3508928/1000</f>
        <v>3508.9279999999999</v>
      </c>
      <c r="M7" s="345">
        <f>317160375/1000</f>
        <v>317160.375</v>
      </c>
      <c r="N7" s="3"/>
    </row>
    <row r="8" spans="1:14" s="25" customFormat="1" ht="12" customHeight="1">
      <c r="A8" s="298"/>
      <c r="B8" s="298"/>
      <c r="C8" s="298"/>
      <c r="D8" s="298"/>
      <c r="E8" s="298"/>
      <c r="F8" s="298"/>
      <c r="G8" s="298"/>
      <c r="H8" s="298"/>
      <c r="I8" s="298"/>
      <c r="J8" s="298"/>
      <c r="K8" s="298"/>
      <c r="L8" s="298"/>
      <c r="M8" s="301" t="s">
        <v>349</v>
      </c>
    </row>
    <row r="9" spans="1:14" s="25" customFormat="1" ht="12" customHeight="1">
      <c r="A9" s="300"/>
      <c r="B9" s="300"/>
      <c r="C9" s="298"/>
      <c r="D9" s="298"/>
      <c r="E9" s="298"/>
      <c r="F9" s="298"/>
      <c r="G9" s="298" t="s">
        <v>365</v>
      </c>
      <c r="H9" s="298"/>
      <c r="I9" s="298"/>
      <c r="J9" s="298"/>
      <c r="K9" s="298"/>
      <c r="L9" s="328"/>
      <c r="M9" s="301"/>
    </row>
    <row r="10" spans="1:14" s="10" customFormat="1" ht="9.6">
      <c r="A10" s="346"/>
      <c r="B10" s="346"/>
      <c r="C10" s="346"/>
      <c r="D10" s="346"/>
      <c r="E10" s="346"/>
      <c r="F10" s="346"/>
      <c r="G10" s="298" t="s">
        <v>366</v>
      </c>
      <c r="H10" s="346"/>
      <c r="I10" s="346"/>
      <c r="J10" s="298"/>
      <c r="K10" s="346"/>
      <c r="L10" s="346"/>
      <c r="M10" s="346"/>
    </row>
    <row r="11" spans="1:14">
      <c r="D11" s="53"/>
    </row>
  </sheetData>
  <mergeCells count="3">
    <mergeCell ref="B2:B4"/>
    <mergeCell ref="F2:F4"/>
    <mergeCell ref="G2:G4"/>
  </mergeCells>
  <phoneticPr fontId="3"/>
  <printOptions gridLinesSet="0"/>
  <pageMargins left="0.70866141732283472" right="0.70866141732283472" top="0.98425196850393704" bottom="0.98425196850393704" header="0.51181102362204722" footer="0.31496062992125984"/>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3850B-4D9D-489B-843D-6D4FAB336414}">
  <dimension ref="A1:O10"/>
  <sheetViews>
    <sheetView view="pageBreakPreview" zoomScale="115" zoomScaleNormal="115" zoomScaleSheetLayoutView="115" workbookViewId="0">
      <selection activeCell="I7" sqref="I7"/>
    </sheetView>
  </sheetViews>
  <sheetFormatPr defaultColWidth="9" defaultRowHeight="13.2"/>
  <cols>
    <col min="1" max="1" width="7.109375" style="1" customWidth="1"/>
    <col min="2" max="2" width="6" style="1" customWidth="1"/>
    <col min="3" max="3" width="7.33203125" style="1" customWidth="1"/>
    <col min="4" max="4" width="5.33203125" style="1" customWidth="1"/>
    <col min="5" max="5" width="6" style="1" customWidth="1"/>
    <col min="6" max="6" width="6.77734375" style="1" customWidth="1"/>
    <col min="7" max="13" width="6" style="1" customWidth="1"/>
    <col min="14" max="14" width="6.77734375" style="1" customWidth="1"/>
    <col min="15" max="16384" width="9" style="1"/>
  </cols>
  <sheetData>
    <row r="1" spans="1:15" ht="15" customHeight="1" thickBot="1">
      <c r="A1" s="304" t="s">
        <v>112</v>
      </c>
      <c r="B1" s="347"/>
      <c r="C1" s="347"/>
      <c r="D1" s="347"/>
      <c r="E1" s="347"/>
      <c r="F1" s="347"/>
      <c r="G1" s="347"/>
      <c r="H1" s="347"/>
      <c r="I1" s="347"/>
      <c r="J1" s="347"/>
      <c r="K1" s="347"/>
      <c r="L1" s="347"/>
      <c r="M1" s="347"/>
      <c r="N1" s="347"/>
    </row>
    <row r="2" spans="1:15" s="31" customFormat="1" ht="15" customHeight="1" thickTop="1" thickBot="1">
      <c r="A2" s="305" t="s">
        <v>89</v>
      </c>
      <c r="B2" s="680" t="s">
        <v>111</v>
      </c>
      <c r="C2" s="680" t="s">
        <v>110</v>
      </c>
      <c r="D2" s="681" t="s">
        <v>23</v>
      </c>
      <c r="E2" s="348"/>
      <c r="F2" s="678" t="s">
        <v>109</v>
      </c>
      <c r="G2" s="349"/>
      <c r="H2" s="676" t="s">
        <v>367</v>
      </c>
      <c r="I2" s="676" t="s">
        <v>368</v>
      </c>
      <c r="J2" s="350"/>
      <c r="K2" s="676" t="s">
        <v>369</v>
      </c>
      <c r="L2" s="350"/>
      <c r="M2" s="677" t="s">
        <v>370</v>
      </c>
      <c r="N2" s="351"/>
    </row>
    <row r="3" spans="1:15" s="3" customFormat="1" ht="15" customHeight="1" thickTop="1" thickBot="1">
      <c r="A3" s="309"/>
      <c r="B3" s="680"/>
      <c r="C3" s="680"/>
      <c r="D3" s="681"/>
      <c r="E3" s="352" t="s">
        <v>108</v>
      </c>
      <c r="F3" s="678"/>
      <c r="G3" s="311" t="s">
        <v>107</v>
      </c>
      <c r="H3" s="676"/>
      <c r="I3" s="676"/>
      <c r="J3" s="331" t="s">
        <v>106</v>
      </c>
      <c r="K3" s="676"/>
      <c r="L3" s="331" t="s">
        <v>105</v>
      </c>
      <c r="M3" s="677"/>
      <c r="N3" s="333" t="s">
        <v>100</v>
      </c>
    </row>
    <row r="4" spans="1:15" s="3" customFormat="1" ht="15" customHeight="1" thickTop="1">
      <c r="A4" s="312" t="s">
        <v>19</v>
      </c>
      <c r="B4" s="680"/>
      <c r="C4" s="680"/>
      <c r="D4" s="681"/>
      <c r="E4" s="353" t="s">
        <v>371</v>
      </c>
      <c r="F4" s="678"/>
      <c r="G4" s="354"/>
      <c r="H4" s="676"/>
      <c r="I4" s="676"/>
      <c r="J4" s="275"/>
      <c r="K4" s="676"/>
      <c r="L4" s="275"/>
      <c r="M4" s="677"/>
      <c r="N4" s="355"/>
    </row>
    <row r="5" spans="1:15" s="54" customFormat="1" ht="18" customHeight="1">
      <c r="A5" s="356" t="s">
        <v>352</v>
      </c>
      <c r="B5" s="277">
        <v>36697</v>
      </c>
      <c r="C5" s="277">
        <v>128904</v>
      </c>
      <c r="D5" s="277">
        <v>4893</v>
      </c>
      <c r="E5" s="316">
        <v>4589</v>
      </c>
      <c r="F5" s="317">
        <v>170493</v>
      </c>
      <c r="G5" s="318">
        <v>49871</v>
      </c>
      <c r="H5" s="277">
        <v>1478</v>
      </c>
      <c r="I5" s="277">
        <v>18448</v>
      </c>
      <c r="J5" s="278">
        <v>24517</v>
      </c>
      <c r="K5" s="277">
        <v>220</v>
      </c>
      <c r="L5" s="277">
        <v>25081</v>
      </c>
      <c r="M5" s="316">
        <v>47873</v>
      </c>
      <c r="N5" s="357">
        <v>337981</v>
      </c>
      <c r="O5" s="55"/>
    </row>
    <row r="6" spans="1:15" s="54" customFormat="1" ht="18" customHeight="1">
      <c r="A6" s="340">
        <v>4</v>
      </c>
      <c r="B6" s="277">
        <v>37649</v>
      </c>
      <c r="C6" s="277">
        <v>124996</v>
      </c>
      <c r="D6" s="277">
        <v>3323</v>
      </c>
      <c r="E6" s="316">
        <v>3069</v>
      </c>
      <c r="F6" s="317">
        <v>165969</v>
      </c>
      <c r="G6" s="318">
        <v>52079</v>
      </c>
      <c r="H6" s="277">
        <v>1561</v>
      </c>
      <c r="I6" s="277">
        <v>25733</v>
      </c>
      <c r="J6" s="278">
        <v>16508</v>
      </c>
      <c r="K6" s="277">
        <v>114</v>
      </c>
      <c r="L6" s="277">
        <v>27542</v>
      </c>
      <c r="M6" s="316">
        <v>37339</v>
      </c>
      <c r="N6" s="357">
        <v>326844</v>
      </c>
      <c r="O6" s="55"/>
    </row>
    <row r="7" spans="1:15" s="54" customFormat="1" ht="18" customHeight="1">
      <c r="A7" s="341">
        <v>5</v>
      </c>
      <c r="B7" s="322">
        <f>37065760/1000</f>
        <v>37065.760000000002</v>
      </c>
      <c r="C7" s="322">
        <f>127458753/1000</f>
        <v>127458.753</v>
      </c>
      <c r="D7" s="322">
        <f>3508917/1000</f>
        <v>3508.9169999999999</v>
      </c>
      <c r="E7" s="323">
        <f>3288460/1000</f>
        <v>3288.46</v>
      </c>
      <c r="F7" s="324">
        <f>168033430/1000</f>
        <v>168033.43</v>
      </c>
      <c r="G7" s="325">
        <f>49002809/1000</f>
        <v>49002.809000000001</v>
      </c>
      <c r="H7" s="322">
        <f>1826061/1000</f>
        <v>1826.0609999999999</v>
      </c>
      <c r="I7" s="322">
        <f>24209340/1000</f>
        <v>24209.34</v>
      </c>
      <c r="J7" s="358">
        <f>12868894/1000</f>
        <v>12868.894</v>
      </c>
      <c r="K7" s="322">
        <f>45819/1000</f>
        <v>45.819000000000003</v>
      </c>
      <c r="L7" s="322">
        <f>29450808/1000</f>
        <v>29450.808000000001</v>
      </c>
      <c r="M7" s="323">
        <f>31723214/1000</f>
        <v>31723.214</v>
      </c>
      <c r="N7" s="359">
        <f>317160375/1000</f>
        <v>317160.375</v>
      </c>
      <c r="O7" s="55"/>
    </row>
    <row r="8" spans="1:15" s="10" customFormat="1" ht="12" customHeight="1">
      <c r="A8" s="298" t="s">
        <v>353</v>
      </c>
      <c r="B8" s="298"/>
      <c r="C8" s="298"/>
      <c r="D8" s="298"/>
      <c r="E8" s="298"/>
      <c r="F8" s="298"/>
      <c r="G8" s="298"/>
      <c r="H8" s="298"/>
      <c r="I8" s="298"/>
      <c r="J8" s="298"/>
      <c r="K8" s="298"/>
      <c r="L8" s="298"/>
      <c r="M8" s="298"/>
      <c r="N8" s="301" t="s">
        <v>349</v>
      </c>
    </row>
    <row r="9" spans="1:15" s="10" customFormat="1" ht="12" customHeight="1">
      <c r="A9" s="300" t="s">
        <v>372</v>
      </c>
      <c r="B9" s="300"/>
      <c r="C9" s="298"/>
      <c r="D9" s="298"/>
      <c r="E9" s="298" t="s">
        <v>373</v>
      </c>
      <c r="F9" s="346"/>
      <c r="G9" s="346"/>
      <c r="H9" s="346"/>
      <c r="I9" s="346"/>
      <c r="J9" s="298"/>
      <c r="K9" s="298"/>
      <c r="L9" s="328"/>
      <c r="M9" s="298"/>
      <c r="N9" s="301"/>
    </row>
    <row r="10" spans="1:15" s="10" customFormat="1" ht="10.5" customHeight="1">
      <c r="A10" s="346"/>
      <c r="B10" s="346"/>
      <c r="C10" s="346"/>
      <c r="D10" s="346"/>
      <c r="E10" s="346" t="s">
        <v>374</v>
      </c>
      <c r="F10" s="346"/>
      <c r="G10" s="346"/>
      <c r="H10" s="346"/>
      <c r="I10" s="346"/>
      <c r="J10" s="346"/>
      <c r="K10" s="346"/>
      <c r="L10" s="346"/>
      <c r="M10" s="346"/>
      <c r="N10" s="360"/>
    </row>
  </sheetData>
  <mergeCells count="8">
    <mergeCell ref="K2:K4"/>
    <mergeCell ref="M2:M4"/>
    <mergeCell ref="B2:B4"/>
    <mergeCell ref="C2:C4"/>
    <mergeCell ref="D2:D4"/>
    <mergeCell ref="F2:F4"/>
    <mergeCell ref="H2:H4"/>
    <mergeCell ref="I2:I4"/>
  </mergeCells>
  <phoneticPr fontId="3"/>
  <printOptions horizontalCentered="1" gridLinesSet="0"/>
  <pageMargins left="0.59055118110236227" right="0.59055118110236227" top="0.98425196850393704" bottom="0.98425196850393704" header="0.51181102362204722" footer="0.31496062992125984"/>
  <pageSetup paperSize="9" fitToWidth="0"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12E92-0B48-4F25-A744-32674E7AC82B}">
  <dimension ref="A1:V20"/>
  <sheetViews>
    <sheetView view="pageBreakPreview" zoomScaleNormal="100" zoomScaleSheetLayoutView="100" zoomScalePageLayoutView="150" workbookViewId="0">
      <selection activeCell="J16" sqref="J16"/>
    </sheetView>
  </sheetViews>
  <sheetFormatPr defaultColWidth="9" defaultRowHeight="13.2"/>
  <cols>
    <col min="1" max="1" width="7.33203125" style="1" customWidth="1"/>
    <col min="2" max="2" width="7.6640625" style="1" customWidth="1"/>
    <col min="3" max="3" width="8.77734375" style="1" customWidth="1"/>
    <col min="4" max="4" width="5" style="1" customWidth="1"/>
    <col min="5" max="5" width="7.44140625" style="1" customWidth="1"/>
    <col min="6" max="6" width="6.6640625" style="1" customWidth="1"/>
    <col min="7" max="7" width="6.33203125" style="1" customWidth="1"/>
    <col min="8" max="8" width="5.6640625" style="1" customWidth="1"/>
    <col min="9" max="9" width="7" style="1" customWidth="1"/>
    <col min="10" max="10" width="7.33203125" style="1" customWidth="1"/>
    <col min="11" max="11" width="6.6640625" style="1" customWidth="1"/>
    <col min="12" max="16384" width="9" style="1"/>
  </cols>
  <sheetData>
    <row r="1" spans="1:22" ht="15" customHeight="1">
      <c r="A1" s="302" t="s">
        <v>375</v>
      </c>
      <c r="B1" s="303"/>
      <c r="C1" s="303"/>
      <c r="D1" s="303"/>
      <c r="E1" s="303"/>
      <c r="F1" s="303"/>
      <c r="G1" s="303"/>
      <c r="H1" s="303"/>
      <c r="I1" s="303"/>
      <c r="J1" s="303"/>
      <c r="K1" s="303"/>
    </row>
    <row r="2" spans="1:22" s="15" customFormat="1" ht="15" customHeight="1" thickBot="1">
      <c r="A2" s="304" t="s">
        <v>56</v>
      </c>
      <c r="B2" s="347"/>
      <c r="C2" s="347"/>
      <c r="D2" s="347"/>
      <c r="E2" s="347"/>
      <c r="F2" s="347"/>
      <c r="G2" s="347"/>
      <c r="H2" s="347"/>
      <c r="I2" s="347"/>
      <c r="J2" s="347"/>
      <c r="K2" s="347"/>
    </row>
    <row r="3" spans="1:22" s="60" customFormat="1" ht="15.9" customHeight="1" thickTop="1" thickBot="1">
      <c r="A3" s="361" t="s">
        <v>89</v>
      </c>
      <c r="B3" s="686" t="s">
        <v>376</v>
      </c>
      <c r="C3" s="362"/>
      <c r="D3" s="684" t="s">
        <v>42</v>
      </c>
      <c r="E3" s="684" t="s">
        <v>95</v>
      </c>
      <c r="F3" s="684" t="s">
        <v>377</v>
      </c>
      <c r="G3" s="363"/>
      <c r="H3" s="687" t="s">
        <v>378</v>
      </c>
      <c r="I3" s="682" t="s">
        <v>379</v>
      </c>
      <c r="J3" s="683" t="s">
        <v>380</v>
      </c>
      <c r="K3" s="684" t="s">
        <v>381</v>
      </c>
    </row>
    <row r="4" spans="1:22" s="60" customFormat="1" ht="15.9" customHeight="1" thickTop="1" thickBot="1">
      <c r="A4" s="364"/>
      <c r="B4" s="686"/>
      <c r="C4" s="685" t="s">
        <v>382</v>
      </c>
      <c r="D4" s="684"/>
      <c r="E4" s="684"/>
      <c r="F4" s="684"/>
      <c r="G4" s="365" t="s">
        <v>37</v>
      </c>
      <c r="H4" s="687"/>
      <c r="I4" s="682"/>
      <c r="J4" s="683"/>
      <c r="K4" s="684"/>
    </row>
    <row r="5" spans="1:22" s="60" customFormat="1" ht="15.9" customHeight="1" thickTop="1">
      <c r="A5" s="366" t="s">
        <v>19</v>
      </c>
      <c r="B5" s="686"/>
      <c r="C5" s="685"/>
      <c r="D5" s="684"/>
      <c r="E5" s="684"/>
      <c r="F5" s="684"/>
      <c r="G5" s="367"/>
      <c r="H5" s="687"/>
      <c r="I5" s="682"/>
      <c r="J5" s="683"/>
      <c r="K5" s="684"/>
    </row>
    <row r="6" spans="1:22" s="60" customFormat="1" ht="18" customHeight="1">
      <c r="A6" s="368" t="s">
        <v>352</v>
      </c>
      <c r="B6" s="369">
        <v>15103</v>
      </c>
      <c r="C6" s="370" t="s">
        <v>114</v>
      </c>
      <c r="D6" s="369">
        <v>170</v>
      </c>
      <c r="E6" s="369">
        <v>48141</v>
      </c>
      <c r="F6" s="369">
        <v>6569</v>
      </c>
      <c r="G6" s="369">
        <v>828</v>
      </c>
      <c r="H6" s="370">
        <v>130</v>
      </c>
      <c r="I6" s="371">
        <v>70940</v>
      </c>
      <c r="J6" s="372">
        <v>70033</v>
      </c>
      <c r="K6" s="373">
        <v>907</v>
      </c>
      <c r="L6" s="61"/>
      <c r="M6" s="61"/>
    </row>
    <row r="7" spans="1:22" s="60" customFormat="1" ht="18" customHeight="1">
      <c r="A7" s="374">
        <v>4</v>
      </c>
      <c r="B7" s="373">
        <v>15215</v>
      </c>
      <c r="C7" s="375" t="s">
        <v>114</v>
      </c>
      <c r="D7" s="373">
        <v>1</v>
      </c>
      <c r="E7" s="373">
        <v>46364</v>
      </c>
      <c r="F7" s="373">
        <v>7776</v>
      </c>
      <c r="G7" s="373">
        <v>907</v>
      </c>
      <c r="H7" s="370">
        <v>118</v>
      </c>
      <c r="I7" s="376">
        <v>70380</v>
      </c>
      <c r="J7" s="377">
        <v>69715</v>
      </c>
      <c r="K7" s="373">
        <v>665</v>
      </c>
      <c r="L7" s="61"/>
      <c r="M7" s="61"/>
    </row>
    <row r="8" spans="1:22" s="60" customFormat="1" ht="18" customHeight="1">
      <c r="A8" s="378">
        <v>5</v>
      </c>
      <c r="B8" s="379">
        <f>14825470/1000</f>
        <v>14825.47</v>
      </c>
      <c r="C8" s="380" t="s">
        <v>114</v>
      </c>
      <c r="D8" s="379">
        <f>3593/1000</f>
        <v>3.593</v>
      </c>
      <c r="E8" s="379">
        <f>45404747/1000</f>
        <v>45404.747000000003</v>
      </c>
      <c r="F8" s="379">
        <f>9295374/1000</f>
        <v>9295.3739999999998</v>
      </c>
      <c r="G8" s="379">
        <f>664894/1000</f>
        <v>664.89400000000001</v>
      </c>
      <c r="H8" s="381">
        <f>73261/1000</f>
        <v>73.260999999999996</v>
      </c>
      <c r="I8" s="382">
        <f>70267339/1000</f>
        <v>70267.339000000007</v>
      </c>
      <c r="J8" s="383">
        <f>69852225/1000</f>
        <v>69852.225000000006</v>
      </c>
      <c r="K8" s="379">
        <f>415114/1000</f>
        <v>415.11399999999998</v>
      </c>
      <c r="L8" s="61"/>
      <c r="M8" s="61"/>
    </row>
    <row r="9" spans="1:22" s="25" customFormat="1" ht="12" customHeight="1">
      <c r="A9" s="298"/>
      <c r="B9" s="298"/>
      <c r="C9" s="298"/>
      <c r="D9" s="298"/>
      <c r="E9" s="298"/>
      <c r="F9" s="298"/>
      <c r="G9" s="298"/>
      <c r="H9" s="298"/>
      <c r="I9" s="298"/>
      <c r="J9" s="298"/>
      <c r="K9" s="301" t="s">
        <v>113</v>
      </c>
    </row>
    <row r="10" spans="1:22" s="25" customFormat="1" ht="12" customHeight="1">
      <c r="A10" s="300"/>
      <c r="B10" s="300"/>
      <c r="C10" s="298"/>
      <c r="D10" s="384"/>
      <c r="E10" s="298"/>
      <c r="F10" s="298"/>
      <c r="G10" s="298"/>
      <c r="H10" s="298"/>
      <c r="I10" s="328"/>
      <c r="J10" s="298"/>
      <c r="K10" s="301" t="s">
        <v>355</v>
      </c>
      <c r="L10" s="27"/>
      <c r="N10" s="27"/>
    </row>
    <row r="11" spans="1:22" s="10" customFormat="1" ht="9.6">
      <c r="M11" s="58"/>
      <c r="N11" s="58"/>
      <c r="Q11" s="58"/>
      <c r="V11" s="58"/>
    </row>
    <row r="12" spans="1:22" s="10" customFormat="1" ht="9.6">
      <c r="L12" s="59"/>
      <c r="M12" s="59"/>
      <c r="N12" s="59"/>
      <c r="P12" s="59"/>
      <c r="Q12" s="59"/>
      <c r="R12" s="59"/>
      <c r="S12" s="59"/>
      <c r="V12" s="59"/>
    </row>
    <row r="13" spans="1:22" s="10" customFormat="1" ht="9.6">
      <c r="N13" s="58"/>
      <c r="Q13" s="58"/>
      <c r="V13" s="58"/>
    </row>
    <row r="14" spans="1:22">
      <c r="L14" s="56"/>
      <c r="M14" s="56"/>
      <c r="N14" s="56"/>
      <c r="O14" s="56"/>
      <c r="P14" s="56"/>
      <c r="Q14" s="56"/>
      <c r="V14" s="56"/>
    </row>
    <row r="15" spans="1:22">
      <c r="M15" s="57"/>
      <c r="N15" s="57"/>
      <c r="Q15" s="57"/>
    </row>
    <row r="16" spans="1:22">
      <c r="L16" s="56"/>
      <c r="M16" s="56"/>
      <c r="N16" s="56"/>
      <c r="O16" s="56"/>
      <c r="Q16" s="56"/>
      <c r="R16" s="56"/>
      <c r="S16" s="56"/>
      <c r="U16" s="56"/>
      <c r="V16" s="56"/>
    </row>
    <row r="17" spans="12:22">
      <c r="L17" s="57"/>
      <c r="M17" s="57"/>
      <c r="N17" s="57"/>
      <c r="Q17" s="57"/>
      <c r="V17" s="57"/>
    </row>
    <row r="18" spans="12:22">
      <c r="L18" s="56"/>
      <c r="M18" s="56"/>
      <c r="N18" s="56"/>
      <c r="O18" s="56"/>
      <c r="Q18" s="56"/>
      <c r="R18" s="56"/>
      <c r="S18" s="56"/>
      <c r="V18" s="56"/>
    </row>
    <row r="20" spans="12:22">
      <c r="L20" s="56"/>
      <c r="M20" s="56"/>
      <c r="N20" s="56"/>
      <c r="O20" s="56"/>
      <c r="P20" s="56"/>
      <c r="Q20" s="56"/>
      <c r="V20" s="56"/>
    </row>
  </sheetData>
  <mergeCells count="9">
    <mergeCell ref="I3:I5"/>
    <mergeCell ref="J3:J5"/>
    <mergeCell ref="K3:K5"/>
    <mergeCell ref="C4:C5"/>
    <mergeCell ref="B3:B5"/>
    <mergeCell ref="D3:D5"/>
    <mergeCell ref="E3:E5"/>
    <mergeCell ref="F3:F5"/>
    <mergeCell ref="H3:H5"/>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B6DB-D8AD-49BB-9B66-1784CF38940C}">
  <dimension ref="A1:M10"/>
  <sheetViews>
    <sheetView view="pageBreakPreview" zoomScaleNormal="100" zoomScaleSheetLayoutView="100" workbookViewId="0">
      <selection activeCell="E16" sqref="E16:E17"/>
    </sheetView>
  </sheetViews>
  <sheetFormatPr defaultColWidth="9" defaultRowHeight="13.2"/>
  <cols>
    <col min="1" max="1" width="7.33203125" style="1" customWidth="1"/>
    <col min="2" max="2" width="5.88671875" style="1" customWidth="1"/>
    <col min="3" max="4" width="6.88671875" style="1" customWidth="1"/>
    <col min="5" max="5" width="5.6640625" style="1" customWidth="1"/>
    <col min="6" max="6" width="7.33203125" style="1" customWidth="1"/>
    <col min="7" max="7" width="7.88671875" style="1" customWidth="1"/>
    <col min="8" max="8" width="7.44140625" style="1" customWidth="1"/>
    <col min="9" max="9" width="6.109375" style="1" customWidth="1"/>
    <col min="10" max="10" width="4.88671875" style="1" customWidth="1"/>
    <col min="11" max="11" width="6.109375" style="1" customWidth="1"/>
    <col min="12" max="12" width="6.88671875" style="1" customWidth="1"/>
    <col min="13" max="16384" width="9" style="1"/>
  </cols>
  <sheetData>
    <row r="1" spans="1:13" s="15" customFormat="1" ht="15" customHeight="1" thickBot="1">
      <c r="A1" s="304" t="s">
        <v>34</v>
      </c>
      <c r="B1" s="347"/>
      <c r="C1" s="347"/>
      <c r="D1" s="347"/>
      <c r="E1" s="347"/>
      <c r="F1" s="347"/>
      <c r="G1" s="347"/>
      <c r="H1" s="347"/>
      <c r="I1" s="347"/>
      <c r="J1" s="347"/>
      <c r="K1" s="347"/>
      <c r="L1" s="347"/>
    </row>
    <row r="2" spans="1:13" s="60" customFormat="1" ht="15.9" customHeight="1" thickTop="1" thickBot="1">
      <c r="A2" s="385" t="s">
        <v>89</v>
      </c>
      <c r="B2" s="688" t="s">
        <v>383</v>
      </c>
      <c r="C2" s="691" t="s">
        <v>384</v>
      </c>
      <c r="D2" s="386"/>
      <c r="E2" s="386"/>
      <c r="F2" s="387"/>
      <c r="G2" s="676" t="s">
        <v>321</v>
      </c>
      <c r="H2" s="676" t="s">
        <v>60</v>
      </c>
      <c r="I2" s="688" t="s">
        <v>385</v>
      </c>
      <c r="J2" s="688" t="s">
        <v>386</v>
      </c>
      <c r="K2" s="689" t="s">
        <v>387</v>
      </c>
      <c r="L2" s="690" t="s">
        <v>388</v>
      </c>
    </row>
    <row r="3" spans="1:13" s="60" customFormat="1" ht="15.9" customHeight="1" thickTop="1" thickBot="1">
      <c r="A3" s="388"/>
      <c r="B3" s="688"/>
      <c r="C3" s="691"/>
      <c r="D3" s="692" t="s">
        <v>389</v>
      </c>
      <c r="E3" s="389" t="s">
        <v>390</v>
      </c>
      <c r="F3" s="692" t="s">
        <v>391</v>
      </c>
      <c r="G3" s="676"/>
      <c r="H3" s="676"/>
      <c r="I3" s="688"/>
      <c r="J3" s="688"/>
      <c r="K3" s="689"/>
      <c r="L3" s="690"/>
    </row>
    <row r="4" spans="1:13" s="60" customFormat="1" ht="15.9" customHeight="1" thickTop="1">
      <c r="A4" s="390" t="s">
        <v>19</v>
      </c>
      <c r="B4" s="688"/>
      <c r="C4" s="691"/>
      <c r="D4" s="692"/>
      <c r="E4" s="391" t="s">
        <v>392</v>
      </c>
      <c r="F4" s="692"/>
      <c r="G4" s="692"/>
      <c r="H4" s="692"/>
      <c r="I4" s="688"/>
      <c r="J4" s="688"/>
      <c r="K4" s="689"/>
      <c r="L4" s="690"/>
    </row>
    <row r="5" spans="1:13" s="60" customFormat="1" ht="18" customHeight="1">
      <c r="A5" s="331" t="s">
        <v>352</v>
      </c>
      <c r="B5" s="392">
        <v>1526</v>
      </c>
      <c r="C5" s="392">
        <v>46791</v>
      </c>
      <c r="D5" s="392">
        <v>46280</v>
      </c>
      <c r="E5" s="392">
        <v>347</v>
      </c>
      <c r="F5" s="392">
        <v>164</v>
      </c>
      <c r="G5" s="392">
        <v>20575</v>
      </c>
      <c r="H5" s="392">
        <v>0</v>
      </c>
      <c r="I5" s="392">
        <v>520</v>
      </c>
      <c r="J5" s="392" t="s">
        <v>114</v>
      </c>
      <c r="K5" s="392">
        <v>620</v>
      </c>
      <c r="L5" s="393">
        <v>70033</v>
      </c>
      <c r="M5" s="63"/>
    </row>
    <row r="6" spans="1:13" s="60" customFormat="1" ht="18" customHeight="1">
      <c r="A6" s="394">
        <v>4</v>
      </c>
      <c r="B6" s="395">
        <v>1436</v>
      </c>
      <c r="C6" s="395">
        <v>45519</v>
      </c>
      <c r="D6" s="395">
        <v>45011</v>
      </c>
      <c r="E6" s="395">
        <v>348</v>
      </c>
      <c r="F6" s="395">
        <v>161</v>
      </c>
      <c r="G6" s="395">
        <v>21480</v>
      </c>
      <c r="H6" s="373">
        <v>0</v>
      </c>
      <c r="I6" s="395">
        <v>497</v>
      </c>
      <c r="J6" s="373" t="s">
        <v>114</v>
      </c>
      <c r="K6" s="392">
        <v>783</v>
      </c>
      <c r="L6" s="393">
        <v>69715</v>
      </c>
      <c r="M6" s="63"/>
    </row>
    <row r="7" spans="1:13" s="60" customFormat="1" ht="18" customHeight="1">
      <c r="A7" s="396">
        <v>5</v>
      </c>
      <c r="B7" s="397">
        <f>1524005/1000</f>
        <v>1524.0050000000001</v>
      </c>
      <c r="C7" s="397">
        <f>44799902/1000</f>
        <v>44799.902000000002</v>
      </c>
      <c r="D7" s="397">
        <f>44325330/1000</f>
        <v>44325.33</v>
      </c>
      <c r="E7" s="397">
        <f>317670/1000</f>
        <v>317.67</v>
      </c>
      <c r="F7" s="397">
        <f>156902/1000</f>
        <v>156.90199999999999</v>
      </c>
      <c r="G7" s="397">
        <f>22297358/1000</f>
        <v>22297.358</v>
      </c>
      <c r="H7" s="379">
        <f>1/1000</f>
        <v>1E-3</v>
      </c>
      <c r="I7" s="397">
        <f>475254/1000</f>
        <v>475.25400000000002</v>
      </c>
      <c r="J7" s="379" t="s">
        <v>114</v>
      </c>
      <c r="K7" s="398">
        <f>755705/1000</f>
        <v>755.70500000000004</v>
      </c>
      <c r="L7" s="399">
        <f>69852225/1000</f>
        <v>69852.225000000006</v>
      </c>
      <c r="M7" s="63"/>
    </row>
    <row r="8" spans="1:13" s="25" customFormat="1" ht="12" customHeight="1">
      <c r="A8" s="298" t="s">
        <v>353</v>
      </c>
      <c r="B8" s="298"/>
      <c r="C8" s="298"/>
      <c r="D8" s="298"/>
      <c r="E8" s="298"/>
      <c r="F8" s="298"/>
      <c r="G8" s="298"/>
      <c r="H8" s="298"/>
      <c r="I8" s="298"/>
      <c r="J8" s="298"/>
      <c r="K8" s="298"/>
      <c r="L8" s="301" t="s">
        <v>113</v>
      </c>
    </row>
    <row r="9" spans="1:13" s="25" customFormat="1" ht="12" customHeight="1">
      <c r="A9" s="300"/>
      <c r="B9" s="300"/>
      <c r="C9" s="298"/>
      <c r="D9" s="298"/>
      <c r="E9" s="298"/>
      <c r="F9" s="298"/>
      <c r="G9" s="298"/>
      <c r="H9" s="298"/>
      <c r="I9" s="298"/>
      <c r="J9" s="298"/>
      <c r="K9" s="328"/>
      <c r="L9" s="301" t="s">
        <v>355</v>
      </c>
      <c r="M9" s="27"/>
    </row>
    <row r="10" spans="1:13">
      <c r="E10" s="62"/>
    </row>
  </sheetData>
  <mergeCells count="10">
    <mergeCell ref="I2:I4"/>
    <mergeCell ref="J2:J4"/>
    <mergeCell ref="K2:K4"/>
    <mergeCell ref="L2:L4"/>
    <mergeCell ref="B2:B4"/>
    <mergeCell ref="C2:C4"/>
    <mergeCell ref="G2:G4"/>
    <mergeCell ref="H2:H4"/>
    <mergeCell ref="F3:F4"/>
    <mergeCell ref="D3:D4"/>
  </mergeCells>
  <phoneticPr fontId="3"/>
  <pageMargins left="0.7" right="0.7" top="0.75" bottom="0.75" header="0.3" footer="0.3"/>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D37C-F605-40B0-B7F1-71CEC5E85CCE}">
  <dimension ref="A1:X20"/>
  <sheetViews>
    <sheetView view="pageBreakPreview" zoomScaleNormal="115" zoomScaleSheetLayoutView="100" workbookViewId="0">
      <selection activeCell="L2" sqref="L2"/>
    </sheetView>
  </sheetViews>
  <sheetFormatPr defaultColWidth="9" defaultRowHeight="13.2"/>
  <cols>
    <col min="1" max="1" width="7.109375" style="1" customWidth="1"/>
    <col min="2" max="2" width="7.6640625" style="1" customWidth="1"/>
    <col min="3" max="4" width="8.109375" style="1" customWidth="1"/>
    <col min="5" max="5" width="7.109375" style="1" customWidth="1"/>
    <col min="6" max="6" width="6.6640625" style="1" customWidth="1"/>
    <col min="7" max="7" width="7.6640625" style="1" customWidth="1"/>
    <col min="8" max="9" width="7.109375" style="1" customWidth="1"/>
    <col min="10" max="10" width="5.88671875" style="1" customWidth="1"/>
    <col min="11" max="11" width="7.88671875" style="1" customWidth="1"/>
    <col min="12" max="12" width="7.6640625" style="1" customWidth="1"/>
    <col min="13" max="13" width="7.109375" style="1" customWidth="1"/>
    <col min="14" max="16384" width="9" style="1"/>
  </cols>
  <sheetData>
    <row r="1" spans="1:24" ht="15" customHeight="1">
      <c r="A1" s="400" t="s">
        <v>393</v>
      </c>
      <c r="B1" s="303"/>
      <c r="C1" s="303"/>
      <c r="D1" s="303"/>
      <c r="E1" s="303"/>
      <c r="F1" s="303"/>
      <c r="G1" s="303"/>
      <c r="H1" s="303"/>
      <c r="I1" s="303"/>
      <c r="J1" s="303"/>
      <c r="K1" s="303"/>
      <c r="L1" s="303"/>
      <c r="M1" s="303"/>
    </row>
    <row r="2" spans="1:24" s="15" customFormat="1" ht="15" customHeight="1" thickBot="1">
      <c r="A2" s="304" t="s">
        <v>56</v>
      </c>
      <c r="B2" s="347"/>
      <c r="C2" s="347"/>
      <c r="D2" s="347"/>
      <c r="E2" s="347"/>
      <c r="F2" s="347"/>
      <c r="G2" s="347"/>
      <c r="H2" s="347"/>
      <c r="I2" s="347"/>
      <c r="J2" s="347"/>
      <c r="K2" s="347"/>
      <c r="L2" s="347"/>
      <c r="M2" s="347"/>
    </row>
    <row r="3" spans="1:24" s="31" customFormat="1" ht="15.9" customHeight="1" thickTop="1" thickBot="1">
      <c r="A3" s="305" t="s">
        <v>89</v>
      </c>
      <c r="B3" s="401"/>
      <c r="C3" s="694" t="s">
        <v>394</v>
      </c>
      <c r="D3" s="676" t="s">
        <v>395</v>
      </c>
      <c r="E3" s="676" t="s">
        <v>95</v>
      </c>
      <c r="F3" s="695" t="s">
        <v>396</v>
      </c>
      <c r="G3" s="676" t="s">
        <v>377</v>
      </c>
      <c r="H3" s="676" t="s">
        <v>397</v>
      </c>
      <c r="I3" s="402"/>
      <c r="J3" s="693" t="s">
        <v>378</v>
      </c>
      <c r="K3" s="678" t="s">
        <v>398</v>
      </c>
      <c r="L3" s="694" t="s">
        <v>399</v>
      </c>
      <c r="M3" s="676" t="s">
        <v>400</v>
      </c>
    </row>
    <row r="4" spans="1:24" s="31" customFormat="1" ht="15.9" customHeight="1" thickTop="1" thickBot="1">
      <c r="A4" s="309"/>
      <c r="B4" s="403" t="s">
        <v>115</v>
      </c>
      <c r="C4" s="694"/>
      <c r="D4" s="676"/>
      <c r="E4" s="676"/>
      <c r="F4" s="695"/>
      <c r="G4" s="676"/>
      <c r="H4" s="676"/>
      <c r="I4" s="331" t="s">
        <v>37</v>
      </c>
      <c r="J4" s="693"/>
      <c r="K4" s="678"/>
      <c r="L4" s="694"/>
      <c r="M4" s="676"/>
    </row>
    <row r="5" spans="1:24" s="31" customFormat="1" ht="15.9" customHeight="1" thickTop="1">
      <c r="A5" s="312" t="s">
        <v>19</v>
      </c>
      <c r="B5" s="404"/>
      <c r="C5" s="694"/>
      <c r="D5" s="676"/>
      <c r="E5" s="676"/>
      <c r="F5" s="695"/>
      <c r="G5" s="676"/>
      <c r="H5" s="676"/>
      <c r="I5" s="405"/>
      <c r="J5" s="693"/>
      <c r="K5" s="678"/>
      <c r="L5" s="694"/>
      <c r="M5" s="676"/>
    </row>
    <row r="6" spans="1:24" s="60" customFormat="1" ht="18" customHeight="1">
      <c r="A6" s="331" t="s">
        <v>352</v>
      </c>
      <c r="B6" s="406">
        <v>12200</v>
      </c>
      <c r="C6" s="407">
        <v>14442</v>
      </c>
      <c r="D6" s="408">
        <v>15644</v>
      </c>
      <c r="E6" s="408">
        <v>8574</v>
      </c>
      <c r="F6" s="409" t="s">
        <v>114</v>
      </c>
      <c r="G6" s="408">
        <v>9830</v>
      </c>
      <c r="H6" s="409">
        <v>717</v>
      </c>
      <c r="I6" s="408">
        <v>1803</v>
      </c>
      <c r="J6" s="406">
        <v>33</v>
      </c>
      <c r="K6" s="410">
        <v>63244</v>
      </c>
      <c r="L6" s="411">
        <v>61538</v>
      </c>
      <c r="M6" s="408">
        <v>1706</v>
      </c>
      <c r="N6" s="61"/>
    </row>
    <row r="7" spans="1:24" s="60" customFormat="1" ht="18" customHeight="1">
      <c r="A7" s="412">
        <v>4</v>
      </c>
      <c r="B7" s="406">
        <v>12179</v>
      </c>
      <c r="C7" s="407">
        <v>15083</v>
      </c>
      <c r="D7" s="408">
        <v>15740</v>
      </c>
      <c r="E7" s="408">
        <v>8661</v>
      </c>
      <c r="F7" s="409" t="s">
        <v>114</v>
      </c>
      <c r="G7" s="408">
        <v>10368</v>
      </c>
      <c r="H7" s="409">
        <v>1260</v>
      </c>
      <c r="I7" s="408">
        <v>1706</v>
      </c>
      <c r="J7" s="406">
        <v>44</v>
      </c>
      <c r="K7" s="410">
        <v>65042</v>
      </c>
      <c r="L7" s="411">
        <v>62428</v>
      </c>
      <c r="M7" s="408">
        <v>2614</v>
      </c>
      <c r="N7" s="61"/>
    </row>
    <row r="8" spans="1:24" s="60" customFormat="1" ht="18" customHeight="1">
      <c r="A8" s="413">
        <v>5</v>
      </c>
      <c r="B8" s="414">
        <f>12128009/1000</f>
        <v>12128.009</v>
      </c>
      <c r="C8" s="415">
        <f>15650542/1000</f>
        <v>15650.541999999999</v>
      </c>
      <c r="D8" s="416">
        <f>16427999/1000</f>
        <v>16427.999</v>
      </c>
      <c r="E8" s="416">
        <f>9099951/1000</f>
        <v>9099.9509999999991</v>
      </c>
      <c r="F8" s="417" t="s">
        <v>114</v>
      </c>
      <c r="G8" s="416">
        <f>10533155/1000</f>
        <v>10533.155000000001</v>
      </c>
      <c r="H8" s="417">
        <f>1712579/1000</f>
        <v>1712.579</v>
      </c>
      <c r="I8" s="416">
        <f>2614190/1000</f>
        <v>2614.19</v>
      </c>
      <c r="J8" s="414">
        <f>52176/1000</f>
        <v>52.176000000000002</v>
      </c>
      <c r="K8" s="418">
        <f>68218601/1000</f>
        <v>68218.600999999995</v>
      </c>
      <c r="L8" s="419">
        <f>66316877/1000</f>
        <v>66316.876999999993</v>
      </c>
      <c r="M8" s="416">
        <f>1901724/1000</f>
        <v>1901.7239999999999</v>
      </c>
      <c r="N8" s="61"/>
    </row>
    <row r="9" spans="1:24" s="25" customFormat="1" ht="12" customHeight="1">
      <c r="A9" s="298"/>
      <c r="B9" s="298"/>
      <c r="C9" s="298"/>
      <c r="D9" s="298"/>
      <c r="E9" s="298"/>
      <c r="F9" s="298"/>
      <c r="G9" s="298"/>
      <c r="H9" s="298"/>
      <c r="I9" s="298"/>
      <c r="J9" s="298"/>
      <c r="K9" s="298"/>
      <c r="L9" s="298"/>
      <c r="M9" s="301" t="s">
        <v>113</v>
      </c>
    </row>
    <row r="10" spans="1:24" s="25" customFormat="1" ht="12" customHeight="1">
      <c r="A10" s="300"/>
      <c r="B10" s="300"/>
      <c r="C10" s="298"/>
      <c r="D10" s="298"/>
      <c r="E10" s="298"/>
      <c r="F10" s="298"/>
      <c r="G10" s="298"/>
      <c r="H10" s="298"/>
      <c r="I10" s="298"/>
      <c r="J10" s="298"/>
      <c r="K10" s="328"/>
      <c r="L10" s="298"/>
      <c r="M10" s="301" t="s">
        <v>355</v>
      </c>
      <c r="N10" s="27"/>
      <c r="P10" s="27"/>
    </row>
    <row r="11" spans="1:24" s="10" customFormat="1" ht="13.5" customHeight="1">
      <c r="M11" s="11"/>
      <c r="O11" s="58"/>
      <c r="P11" s="58"/>
      <c r="S11" s="58"/>
      <c r="X11" s="58"/>
    </row>
    <row r="12" spans="1:24" ht="13.5" customHeight="1">
      <c r="N12" s="56"/>
      <c r="O12" s="56"/>
      <c r="P12" s="56"/>
      <c r="R12" s="56"/>
      <c r="S12" s="56"/>
      <c r="T12" s="56"/>
      <c r="U12" s="56"/>
      <c r="X12" s="56"/>
    </row>
    <row r="13" spans="1:24">
      <c r="P13" s="57"/>
      <c r="S13" s="57"/>
      <c r="X13" s="57"/>
    </row>
    <row r="14" spans="1:24">
      <c r="N14" s="56"/>
      <c r="O14" s="56"/>
      <c r="P14" s="56"/>
      <c r="Q14" s="56"/>
      <c r="R14" s="56"/>
      <c r="S14" s="56"/>
      <c r="X14" s="56"/>
    </row>
    <row r="15" spans="1:24">
      <c r="O15" s="57"/>
      <c r="P15" s="57"/>
      <c r="S15" s="57"/>
    </row>
    <row r="16" spans="1:24">
      <c r="N16" s="56"/>
      <c r="O16" s="56"/>
      <c r="P16" s="56"/>
      <c r="Q16" s="56"/>
      <c r="S16" s="56"/>
      <c r="T16" s="56"/>
      <c r="U16" s="56"/>
      <c r="W16" s="56"/>
      <c r="X16" s="56"/>
    </row>
    <row r="17" spans="14:24">
      <c r="N17" s="57"/>
      <c r="O17" s="57"/>
      <c r="P17" s="57"/>
      <c r="S17" s="57"/>
      <c r="X17" s="57"/>
    </row>
    <row r="18" spans="14:24">
      <c r="N18" s="56"/>
      <c r="O18" s="56"/>
      <c r="P18" s="56"/>
      <c r="Q18" s="56"/>
      <c r="S18" s="56"/>
      <c r="T18" s="56"/>
      <c r="U18" s="56"/>
      <c r="X18" s="56"/>
    </row>
    <row r="20" spans="14:24">
      <c r="N20" s="56"/>
      <c r="O20" s="56"/>
      <c r="P20" s="56"/>
      <c r="Q20" s="56"/>
      <c r="R20" s="56"/>
      <c r="S20" s="56"/>
      <c r="X20" s="56"/>
    </row>
  </sheetData>
  <mergeCells count="10">
    <mergeCell ref="E3:E5"/>
    <mergeCell ref="J3:J5"/>
    <mergeCell ref="L3:L5"/>
    <mergeCell ref="M3:M5"/>
    <mergeCell ref="C3:C5"/>
    <mergeCell ref="D3:D5"/>
    <mergeCell ref="F3:F5"/>
    <mergeCell ref="G3:G5"/>
    <mergeCell ref="H3:H5"/>
    <mergeCell ref="K3:K5"/>
  </mergeCells>
  <phoneticPr fontId="3"/>
  <pageMargins left="0.7" right="0.7" top="0.75" bottom="0.75" header="0.3" footer="0.3"/>
  <pageSetup paperSize="9" scale="94" fitToWidth="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B64B-5FF2-4A36-BBEA-629DA2368EDD}">
  <dimension ref="A1:W19"/>
  <sheetViews>
    <sheetView view="pageBreakPreview" zoomScale="110" zoomScaleNormal="130" zoomScaleSheetLayoutView="110" workbookViewId="0">
      <selection activeCell="I7" sqref="I7"/>
    </sheetView>
  </sheetViews>
  <sheetFormatPr defaultColWidth="9" defaultRowHeight="13.2"/>
  <cols>
    <col min="1" max="2" width="7.109375" style="1" customWidth="1"/>
    <col min="3" max="3" width="8.109375" style="1" customWidth="1"/>
    <col min="4" max="4" width="7.33203125" style="1" customWidth="1"/>
    <col min="5" max="5" width="7.6640625" style="1" customWidth="1"/>
    <col min="6" max="6" width="7.109375" style="1" customWidth="1"/>
    <col min="7" max="7" width="6.109375" style="1" customWidth="1"/>
    <col min="8" max="8" width="5.6640625" style="1" customWidth="1"/>
    <col min="9" max="9" width="6.88671875" style="1" customWidth="1"/>
    <col min="10" max="10" width="5.6640625" style="1" customWidth="1"/>
    <col min="11" max="11" width="6.6640625" style="1" customWidth="1"/>
    <col min="12" max="12" width="5.6640625" style="1" customWidth="1"/>
    <col min="13" max="13" width="8.6640625" style="1" customWidth="1"/>
    <col min="14" max="16384" width="9" style="1"/>
  </cols>
  <sheetData>
    <row r="1" spans="1:23" s="15" customFormat="1" ht="15" customHeight="1" thickBot="1">
      <c r="A1" s="304" t="s">
        <v>34</v>
      </c>
      <c r="B1" s="347"/>
      <c r="C1" s="347"/>
      <c r="D1" s="347"/>
      <c r="E1" s="347"/>
      <c r="F1" s="347"/>
      <c r="G1" s="347"/>
      <c r="H1" s="347"/>
      <c r="I1" s="347"/>
      <c r="J1" s="347"/>
      <c r="K1" s="347"/>
      <c r="L1" s="347"/>
      <c r="M1" s="347"/>
    </row>
    <row r="2" spans="1:23" s="31" customFormat="1" ht="15.9" customHeight="1" thickTop="1" thickBot="1">
      <c r="A2" s="305" t="s">
        <v>89</v>
      </c>
      <c r="B2" s="350"/>
      <c r="C2" s="676" t="s">
        <v>384</v>
      </c>
      <c r="D2" s="696" t="s">
        <v>401</v>
      </c>
      <c r="E2" s="697" t="s">
        <v>402</v>
      </c>
      <c r="F2" s="697" t="s">
        <v>247</v>
      </c>
      <c r="G2" s="676" t="s">
        <v>403</v>
      </c>
      <c r="H2" s="350"/>
      <c r="I2" s="676" t="s">
        <v>404</v>
      </c>
      <c r="J2" s="676" t="s">
        <v>23</v>
      </c>
      <c r="K2" s="676" t="s">
        <v>405</v>
      </c>
      <c r="L2" s="689" t="s">
        <v>387</v>
      </c>
      <c r="M2" s="349"/>
    </row>
    <row r="3" spans="1:23" s="31" customFormat="1" ht="15.9" customHeight="1" thickTop="1" thickBot="1">
      <c r="A3" s="309"/>
      <c r="B3" s="311" t="s">
        <v>29</v>
      </c>
      <c r="C3" s="676"/>
      <c r="D3" s="696"/>
      <c r="E3" s="697"/>
      <c r="F3" s="697"/>
      <c r="G3" s="676"/>
      <c r="H3" s="331" t="s">
        <v>105</v>
      </c>
      <c r="I3" s="676"/>
      <c r="J3" s="676"/>
      <c r="K3" s="676"/>
      <c r="L3" s="689"/>
      <c r="M3" s="311" t="s">
        <v>116</v>
      </c>
    </row>
    <row r="4" spans="1:23" s="31" customFormat="1" ht="15.9" customHeight="1" thickTop="1">
      <c r="A4" s="312" t="s">
        <v>19</v>
      </c>
      <c r="B4" s="275"/>
      <c r="C4" s="676"/>
      <c r="D4" s="696"/>
      <c r="E4" s="697"/>
      <c r="F4" s="697"/>
      <c r="G4" s="676"/>
      <c r="H4" s="275"/>
      <c r="I4" s="676"/>
      <c r="J4" s="676"/>
      <c r="K4" s="676"/>
      <c r="L4" s="689"/>
      <c r="M4" s="354"/>
    </row>
    <row r="5" spans="1:23" s="60" customFormat="1" ht="18" customHeight="1">
      <c r="A5" s="331" t="s">
        <v>352</v>
      </c>
      <c r="B5" s="420">
        <v>1082</v>
      </c>
      <c r="C5" s="420">
        <v>56319</v>
      </c>
      <c r="D5" s="421" t="s">
        <v>114</v>
      </c>
      <c r="E5" s="421" t="s">
        <v>114</v>
      </c>
      <c r="F5" s="420">
        <v>2366</v>
      </c>
      <c r="G5" s="421" t="s">
        <v>114</v>
      </c>
      <c r="H5" s="420">
        <v>423</v>
      </c>
      <c r="I5" s="420">
        <v>1087</v>
      </c>
      <c r="J5" s="421" t="s">
        <v>114</v>
      </c>
      <c r="K5" s="421" t="s">
        <v>114</v>
      </c>
      <c r="L5" s="422">
        <v>261</v>
      </c>
      <c r="M5" s="423">
        <v>61538</v>
      </c>
      <c r="N5" s="61"/>
    </row>
    <row r="6" spans="1:23" s="60" customFormat="1" ht="18" customHeight="1">
      <c r="A6" s="412">
        <v>4</v>
      </c>
      <c r="B6" s="420">
        <v>1168</v>
      </c>
      <c r="C6" s="420">
        <v>57207</v>
      </c>
      <c r="D6" s="424" t="s">
        <v>114</v>
      </c>
      <c r="E6" s="424" t="s">
        <v>114</v>
      </c>
      <c r="F6" s="420">
        <v>2433</v>
      </c>
      <c r="G6" s="424" t="s">
        <v>114</v>
      </c>
      <c r="H6" s="420">
        <v>447</v>
      </c>
      <c r="I6" s="420">
        <v>636</v>
      </c>
      <c r="J6" s="424" t="s">
        <v>114</v>
      </c>
      <c r="K6" s="424" t="s">
        <v>114</v>
      </c>
      <c r="L6" s="422">
        <v>538</v>
      </c>
      <c r="M6" s="423">
        <v>62428</v>
      </c>
      <c r="N6" s="61"/>
    </row>
    <row r="7" spans="1:23" s="60" customFormat="1" ht="18" customHeight="1">
      <c r="A7" s="413">
        <v>5</v>
      </c>
      <c r="B7" s="425">
        <f>1367375/1000</f>
        <v>1367.375</v>
      </c>
      <c r="C7" s="425">
        <f>59801259/1000</f>
        <v>59801.258999999998</v>
      </c>
      <c r="D7" s="426" t="s">
        <v>114</v>
      </c>
      <c r="E7" s="426" t="s">
        <v>114</v>
      </c>
      <c r="F7" s="425">
        <f>2521369/1000</f>
        <v>2521.3690000000001</v>
      </c>
      <c r="G7" s="426" t="s">
        <v>114</v>
      </c>
      <c r="H7" s="425">
        <f>772130/1000</f>
        <v>772.13</v>
      </c>
      <c r="I7" s="425">
        <f>1222163/1000</f>
        <v>1222.163</v>
      </c>
      <c r="J7" s="426" t="s">
        <v>114</v>
      </c>
      <c r="K7" s="426" t="s">
        <v>114</v>
      </c>
      <c r="L7" s="427">
        <f>632581/1000</f>
        <v>632.58100000000002</v>
      </c>
      <c r="M7" s="428">
        <f>66316877/1000</f>
        <v>66316.876999999993</v>
      </c>
      <c r="N7" s="61"/>
    </row>
    <row r="8" spans="1:23" s="25" customFormat="1" ht="12" customHeight="1">
      <c r="A8" s="298" t="s">
        <v>353</v>
      </c>
      <c r="B8" s="298"/>
      <c r="C8" s="298"/>
      <c r="D8" s="298"/>
      <c r="E8" s="298"/>
      <c r="F8" s="298"/>
      <c r="G8" s="298"/>
      <c r="H8" s="298"/>
      <c r="I8" s="298"/>
      <c r="J8" s="298"/>
      <c r="K8" s="298"/>
      <c r="L8" s="298"/>
      <c r="M8" s="301" t="s">
        <v>349</v>
      </c>
    </row>
    <row r="9" spans="1:23" s="25" customFormat="1" ht="12" customHeight="1">
      <c r="A9" s="300"/>
      <c r="B9" s="300"/>
      <c r="C9" s="298"/>
      <c r="D9" s="298"/>
      <c r="E9" s="298"/>
      <c r="F9" s="298"/>
      <c r="G9" s="298"/>
      <c r="H9" s="298"/>
      <c r="I9" s="298"/>
      <c r="J9" s="298"/>
      <c r="K9" s="298"/>
      <c r="L9" s="328"/>
      <c r="M9" s="301" t="s">
        <v>355</v>
      </c>
      <c r="O9" s="27"/>
    </row>
    <row r="10" spans="1:23" s="10" customFormat="1" ht="13.5" customHeight="1">
      <c r="M10" s="11"/>
      <c r="N10" s="58"/>
      <c r="O10" s="58"/>
      <c r="R10" s="58"/>
      <c r="W10" s="58"/>
    </row>
    <row r="11" spans="1:23" s="10" customFormat="1" ht="13.5" customHeight="1">
      <c r="N11" s="59"/>
      <c r="O11" s="59"/>
      <c r="Q11" s="59"/>
      <c r="R11" s="59"/>
      <c r="S11" s="59"/>
      <c r="T11" s="59"/>
      <c r="W11" s="59"/>
    </row>
    <row r="12" spans="1:23" ht="13.5" customHeight="1">
      <c r="O12" s="57"/>
      <c r="R12" s="57"/>
      <c r="W12" s="57"/>
    </row>
    <row r="13" spans="1:23" ht="13.5" customHeight="1">
      <c r="N13" s="56"/>
      <c r="O13" s="56"/>
      <c r="P13" s="56"/>
      <c r="Q13" s="56"/>
      <c r="R13" s="56"/>
      <c r="W13" s="56"/>
    </row>
    <row r="14" spans="1:23" ht="13.5" customHeight="1">
      <c r="N14" s="57"/>
      <c r="O14" s="57"/>
      <c r="R14" s="57"/>
    </row>
    <row r="15" spans="1:23" ht="13.5" customHeight="1">
      <c r="N15" s="56"/>
      <c r="O15" s="56"/>
      <c r="P15" s="56"/>
      <c r="R15" s="56"/>
      <c r="S15" s="56"/>
      <c r="T15" s="56"/>
      <c r="V15" s="56"/>
      <c r="W15" s="56"/>
    </row>
    <row r="16" spans="1:23" ht="13.5" customHeight="1">
      <c r="N16" s="57"/>
      <c r="O16" s="57"/>
      <c r="R16" s="57"/>
      <c r="W16" s="57"/>
    </row>
    <row r="17" spans="14:23" ht="13.5" customHeight="1">
      <c r="N17" s="56"/>
      <c r="O17" s="56"/>
      <c r="P17" s="56"/>
      <c r="R17" s="56"/>
      <c r="S17" s="56"/>
      <c r="T17" s="56"/>
      <c r="W17" s="56"/>
    </row>
    <row r="18" spans="14:23" ht="13.5" customHeight="1"/>
    <row r="19" spans="14:23" ht="13.5" customHeight="1">
      <c r="N19" s="56"/>
      <c r="O19" s="56"/>
      <c r="P19" s="56"/>
      <c r="Q19" s="56"/>
      <c r="R19" s="56"/>
      <c r="W19" s="56"/>
    </row>
  </sheetData>
  <mergeCells count="9">
    <mergeCell ref="K2:K4"/>
    <mergeCell ref="L2:L4"/>
    <mergeCell ref="C2:C4"/>
    <mergeCell ref="D2:D4"/>
    <mergeCell ref="E2:E4"/>
    <mergeCell ref="F2:F4"/>
    <mergeCell ref="G2:G4"/>
    <mergeCell ref="I2:I4"/>
    <mergeCell ref="J2:J4"/>
  </mergeCells>
  <phoneticPr fontId="3"/>
  <pageMargins left="0.7" right="0.7" top="0.75" bottom="0.75" header="0.3" footer="0.3"/>
  <pageSetup paperSize="9" scale="98" fitToWidth="0"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1A5D-9579-41AE-BC0A-311188D1B2C1}">
  <dimension ref="A1:U20"/>
  <sheetViews>
    <sheetView view="pageBreakPreview" zoomScale="98" zoomScaleNormal="100" zoomScaleSheetLayoutView="98" workbookViewId="0">
      <selection sqref="A1:J10"/>
    </sheetView>
  </sheetViews>
  <sheetFormatPr defaultColWidth="9" defaultRowHeight="13.2"/>
  <cols>
    <col min="1" max="1" width="7.21875" style="1" customWidth="1"/>
    <col min="2" max="10" width="9.109375" style="1" customWidth="1"/>
    <col min="11" max="16384" width="9" style="1"/>
  </cols>
  <sheetData>
    <row r="1" spans="1:21" ht="15" customHeight="1">
      <c r="A1" s="400" t="s">
        <v>406</v>
      </c>
      <c r="B1" s="303"/>
      <c r="C1" s="303"/>
      <c r="D1" s="303"/>
      <c r="E1" s="303"/>
      <c r="F1" s="303"/>
      <c r="G1" s="303"/>
      <c r="H1" s="303"/>
      <c r="I1" s="303"/>
      <c r="J1" s="303"/>
    </row>
    <row r="2" spans="1:21" s="15" customFormat="1" ht="13.8" thickBot="1">
      <c r="A2" s="304" t="s">
        <v>56</v>
      </c>
      <c r="B2" s="347"/>
      <c r="C2" s="347"/>
      <c r="D2" s="347"/>
      <c r="E2" s="347"/>
      <c r="F2" s="347"/>
      <c r="G2" s="347"/>
      <c r="H2" s="347"/>
      <c r="I2" s="347"/>
      <c r="J2" s="347"/>
    </row>
    <row r="3" spans="1:21" s="30" customFormat="1" ht="15.9" customHeight="1" thickTop="1" thickBot="1">
      <c r="A3" s="429" t="s">
        <v>89</v>
      </c>
      <c r="B3" s="698" t="s">
        <v>376</v>
      </c>
      <c r="C3" s="430"/>
      <c r="D3" s="431"/>
      <c r="E3" s="430"/>
      <c r="F3" s="432"/>
      <c r="G3" s="699" t="s">
        <v>407</v>
      </c>
      <c r="H3" s="433"/>
      <c r="I3" s="700" t="s">
        <v>408</v>
      </c>
      <c r="J3" s="701" t="s">
        <v>409</v>
      </c>
    </row>
    <row r="4" spans="1:21" s="30" customFormat="1" ht="15.9" customHeight="1" thickTop="1" thickBot="1">
      <c r="A4" s="434"/>
      <c r="B4" s="698"/>
      <c r="C4" s="692" t="s">
        <v>410</v>
      </c>
      <c r="D4" s="435" t="s">
        <v>38</v>
      </c>
      <c r="E4" s="368" t="s">
        <v>411</v>
      </c>
      <c r="F4" s="368" t="s">
        <v>37</v>
      </c>
      <c r="G4" s="699"/>
      <c r="H4" s="436" t="s">
        <v>117</v>
      </c>
      <c r="I4" s="700"/>
      <c r="J4" s="701"/>
    </row>
    <row r="5" spans="1:21" s="30" customFormat="1" ht="15.9" customHeight="1" thickTop="1">
      <c r="A5" s="437" t="s">
        <v>19</v>
      </c>
      <c r="B5" s="698"/>
      <c r="C5" s="692"/>
      <c r="D5" s="438"/>
      <c r="E5" s="438" t="s">
        <v>38</v>
      </c>
      <c r="F5" s="439"/>
      <c r="G5" s="699"/>
      <c r="H5" s="440"/>
      <c r="I5" s="700"/>
      <c r="J5" s="701"/>
    </row>
    <row r="6" spans="1:21" s="30" customFormat="1" ht="18" customHeight="1">
      <c r="A6" s="331" t="s">
        <v>352</v>
      </c>
      <c r="B6" s="421">
        <v>6354</v>
      </c>
      <c r="C6" s="421">
        <v>3023</v>
      </c>
      <c r="D6" s="421">
        <v>2210</v>
      </c>
      <c r="E6" s="421">
        <v>2210</v>
      </c>
      <c r="F6" s="421">
        <v>149</v>
      </c>
      <c r="G6" s="441">
        <v>604</v>
      </c>
      <c r="H6" s="442">
        <v>9316</v>
      </c>
      <c r="I6" s="443">
        <v>9122</v>
      </c>
      <c r="J6" s="421">
        <v>194</v>
      </c>
      <c r="K6" s="67"/>
      <c r="L6" s="67"/>
    </row>
    <row r="7" spans="1:21" s="30" customFormat="1" ht="18" customHeight="1">
      <c r="A7" s="365">
        <v>4</v>
      </c>
      <c r="B7" s="421">
        <v>7115</v>
      </c>
      <c r="C7" s="421">
        <v>3165</v>
      </c>
      <c r="D7" s="421">
        <v>2414</v>
      </c>
      <c r="E7" s="421">
        <v>2414</v>
      </c>
      <c r="F7" s="421">
        <v>194</v>
      </c>
      <c r="G7" s="441">
        <v>640</v>
      </c>
      <c r="H7" s="442">
        <v>10363</v>
      </c>
      <c r="I7" s="443">
        <v>10278</v>
      </c>
      <c r="J7" s="421">
        <v>85</v>
      </c>
      <c r="K7" s="67"/>
      <c r="L7" s="67"/>
    </row>
    <row r="8" spans="1:21" s="30" customFormat="1" ht="18" customHeight="1">
      <c r="A8" s="444">
        <v>5</v>
      </c>
      <c r="B8" s="445">
        <f>7210279/1000</f>
        <v>7210.2790000000005</v>
      </c>
      <c r="C8" s="445">
        <f>3234349/1000</f>
        <v>3234.3490000000002</v>
      </c>
      <c r="D8" s="445">
        <f>2449518/1000</f>
        <v>2449.518</v>
      </c>
      <c r="E8" s="445">
        <f>2449518/1000</f>
        <v>2449.518</v>
      </c>
      <c r="F8" s="445">
        <f>84917/1000</f>
        <v>84.917000000000002</v>
      </c>
      <c r="G8" s="446">
        <f>606014/1000</f>
        <v>606.01400000000001</v>
      </c>
      <c r="H8" s="447">
        <f>10350728/1000</f>
        <v>10350.727999999999</v>
      </c>
      <c r="I8" s="448">
        <f>10170451/1000</f>
        <v>10170.450999999999</v>
      </c>
      <c r="J8" s="445">
        <f>180277/1000</f>
        <v>180.27699999999999</v>
      </c>
      <c r="K8" s="67"/>
      <c r="L8" s="67"/>
    </row>
    <row r="9" spans="1:21" s="25" customFormat="1" ht="12" customHeight="1">
      <c r="A9" s="298"/>
      <c r="B9" s="298"/>
      <c r="C9" s="298"/>
      <c r="D9" s="298"/>
      <c r="E9" s="298"/>
      <c r="F9" s="298"/>
      <c r="G9" s="298"/>
      <c r="H9" s="298"/>
      <c r="I9" s="298"/>
      <c r="J9" s="301" t="s">
        <v>113</v>
      </c>
    </row>
    <row r="10" spans="1:21" s="25" customFormat="1" ht="12" customHeight="1">
      <c r="A10" s="300"/>
      <c r="B10" s="300"/>
      <c r="C10" s="298"/>
      <c r="D10" s="298"/>
      <c r="E10" s="298"/>
      <c r="F10" s="298"/>
      <c r="G10" s="449"/>
      <c r="H10" s="449"/>
      <c r="I10" s="449"/>
      <c r="J10" s="301" t="s">
        <v>355</v>
      </c>
      <c r="K10" s="27"/>
      <c r="M10" s="27"/>
    </row>
    <row r="11" spans="1:21" s="25" customFormat="1" ht="13.5" customHeight="1">
      <c r="G11" s="66"/>
      <c r="H11" s="66"/>
      <c r="I11" s="66"/>
      <c r="J11" s="16"/>
      <c r="L11" s="65"/>
      <c r="M11" s="65"/>
      <c r="P11" s="65"/>
      <c r="U11" s="65"/>
    </row>
    <row r="12" spans="1:21" s="10" customFormat="1" ht="9.6">
      <c r="K12" s="59"/>
      <c r="L12" s="59"/>
      <c r="M12" s="59"/>
      <c r="O12" s="59"/>
      <c r="P12" s="59"/>
      <c r="Q12" s="59"/>
      <c r="R12" s="59"/>
      <c r="U12" s="59"/>
    </row>
    <row r="13" spans="1:21" s="10" customFormat="1" ht="9.6">
      <c r="M13" s="58"/>
      <c r="P13" s="58"/>
      <c r="U13" s="58"/>
    </row>
    <row r="14" spans="1:21">
      <c r="K14" s="56"/>
      <c r="L14" s="56"/>
      <c r="M14" s="56"/>
      <c r="N14" s="56"/>
      <c r="O14" s="56"/>
      <c r="P14" s="56"/>
      <c r="U14" s="56"/>
    </row>
    <row r="15" spans="1:21">
      <c r="L15" s="57"/>
      <c r="M15" s="57"/>
      <c r="P15" s="57"/>
    </row>
    <row r="16" spans="1:21">
      <c r="K16" s="56"/>
      <c r="L16" s="56"/>
      <c r="M16" s="56"/>
      <c r="N16" s="56"/>
      <c r="P16" s="56"/>
      <c r="Q16" s="56"/>
      <c r="R16" s="56"/>
      <c r="T16" s="56"/>
      <c r="U16" s="56"/>
    </row>
    <row r="17" spans="11:21">
      <c r="K17" s="57"/>
      <c r="L17" s="57"/>
      <c r="M17" s="57"/>
      <c r="P17" s="57"/>
      <c r="U17" s="57"/>
    </row>
    <row r="18" spans="11:21">
      <c r="K18" s="56"/>
      <c r="L18" s="56"/>
      <c r="M18" s="56"/>
      <c r="N18" s="56"/>
      <c r="P18" s="56"/>
      <c r="Q18" s="56"/>
      <c r="R18" s="56"/>
      <c r="U18" s="56"/>
    </row>
    <row r="20" spans="11:21">
      <c r="K20" s="56"/>
      <c r="L20" s="56"/>
      <c r="M20" s="56"/>
      <c r="N20" s="56"/>
      <c r="O20" s="56"/>
      <c r="P20" s="56"/>
      <c r="U20" s="56"/>
    </row>
  </sheetData>
  <mergeCells count="5">
    <mergeCell ref="B3:B5"/>
    <mergeCell ref="G3:G5"/>
    <mergeCell ref="I3:I5"/>
    <mergeCell ref="J3:J5"/>
    <mergeCell ref="C4:C5"/>
  </mergeCells>
  <phoneticPr fontId="3"/>
  <pageMargins left="0.51181102362204722" right="0.51181102362204722" top="0.74803149606299213" bottom="0.74803149606299213" header="0.31496062992125984" footer="0.31496062992125984"/>
  <pageSetup paperSize="9" fitToWidth="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2F43-3D52-41F0-99EA-B9DF579A46D4}">
  <dimension ref="A1:Q19"/>
  <sheetViews>
    <sheetView view="pageBreakPreview" zoomScaleNormal="100" zoomScaleSheetLayoutView="100" workbookViewId="0">
      <selection activeCell="C20" sqref="C20"/>
    </sheetView>
  </sheetViews>
  <sheetFormatPr defaultColWidth="9" defaultRowHeight="13.2"/>
  <cols>
    <col min="1" max="1" width="13.109375" style="1" customWidth="1"/>
    <col min="2" max="7" width="12.6640625" style="1" customWidth="1"/>
    <col min="8" max="16384" width="9" style="1"/>
  </cols>
  <sheetData>
    <row r="1" spans="1:17" ht="15" customHeight="1" thickBot="1">
      <c r="A1" s="304" t="s">
        <v>34</v>
      </c>
      <c r="B1" s="303"/>
      <c r="C1" s="303"/>
      <c r="D1" s="303"/>
      <c r="E1" s="303"/>
      <c r="F1" s="303"/>
      <c r="G1" s="303"/>
    </row>
    <row r="2" spans="1:17" s="30" customFormat="1" ht="15.9" customHeight="1" thickTop="1" thickBot="1">
      <c r="A2" s="429" t="s">
        <v>89</v>
      </c>
      <c r="B2" s="450"/>
      <c r="C2" s="702" t="s">
        <v>412</v>
      </c>
      <c r="D2" s="451"/>
      <c r="E2" s="452" t="s">
        <v>413</v>
      </c>
      <c r="F2" s="699" t="s">
        <v>414</v>
      </c>
      <c r="G2" s="453"/>
    </row>
    <row r="3" spans="1:17" s="30" customFormat="1" ht="12" customHeight="1" thickTop="1" thickBot="1">
      <c r="A3" s="434"/>
      <c r="B3" s="454" t="s">
        <v>415</v>
      </c>
      <c r="C3" s="702"/>
      <c r="D3" s="368" t="s">
        <v>416</v>
      </c>
      <c r="E3" s="455" t="s">
        <v>417</v>
      </c>
      <c r="F3" s="699"/>
      <c r="G3" s="454" t="s">
        <v>116</v>
      </c>
    </row>
    <row r="4" spans="1:17" s="30" customFormat="1" ht="15.9" customHeight="1" thickTop="1">
      <c r="A4" s="437" t="s">
        <v>19</v>
      </c>
      <c r="B4" s="456"/>
      <c r="C4" s="702"/>
      <c r="D4" s="438"/>
      <c r="E4" s="457" t="s">
        <v>418</v>
      </c>
      <c r="F4" s="699"/>
      <c r="G4" s="458"/>
    </row>
    <row r="5" spans="1:17" s="30" customFormat="1" ht="18" customHeight="1">
      <c r="A5" s="368" t="s">
        <v>352</v>
      </c>
      <c r="B5" s="459">
        <v>346</v>
      </c>
      <c r="C5" s="459">
        <v>7837</v>
      </c>
      <c r="D5" s="421">
        <v>172</v>
      </c>
      <c r="E5" s="421" t="s">
        <v>114</v>
      </c>
      <c r="F5" s="460">
        <v>767</v>
      </c>
      <c r="G5" s="461">
        <v>9122</v>
      </c>
      <c r="H5" s="67"/>
    </row>
    <row r="6" spans="1:17" s="30" customFormat="1" ht="18" customHeight="1">
      <c r="A6" s="374">
        <v>4</v>
      </c>
      <c r="B6" s="459">
        <v>389</v>
      </c>
      <c r="C6" s="459">
        <v>8831</v>
      </c>
      <c r="D6" s="459">
        <v>273</v>
      </c>
      <c r="E6" s="421" t="s">
        <v>114</v>
      </c>
      <c r="F6" s="460">
        <v>785</v>
      </c>
      <c r="G6" s="461">
        <v>10278</v>
      </c>
      <c r="H6" s="67"/>
    </row>
    <row r="7" spans="1:17" s="30" customFormat="1" ht="18" customHeight="1">
      <c r="A7" s="378">
        <v>5</v>
      </c>
      <c r="B7" s="462">
        <f>344621/1000</f>
        <v>344.62099999999998</v>
      </c>
      <c r="C7" s="462">
        <f>8930354/1000</f>
        <v>8930.3539999999994</v>
      </c>
      <c r="D7" s="462">
        <f>92085/1000</f>
        <v>92.084999999999994</v>
      </c>
      <c r="E7" s="445" t="s">
        <v>114</v>
      </c>
      <c r="F7" s="463">
        <f>803391/1000</f>
        <v>803.39099999999996</v>
      </c>
      <c r="G7" s="464">
        <f>10170451/1000</f>
        <v>10170.450999999999</v>
      </c>
      <c r="H7" s="67"/>
    </row>
    <row r="8" spans="1:17" s="25" customFormat="1" ht="12" customHeight="1">
      <c r="A8" s="298" t="s">
        <v>353</v>
      </c>
      <c r="B8" s="298"/>
      <c r="C8" s="298"/>
      <c r="D8" s="298"/>
      <c r="E8" s="298"/>
      <c r="F8" s="298"/>
      <c r="G8" s="301" t="s">
        <v>113</v>
      </c>
    </row>
    <row r="9" spans="1:17" s="25" customFormat="1" ht="12" customHeight="1">
      <c r="A9" s="300"/>
      <c r="B9" s="300"/>
      <c r="C9" s="298"/>
      <c r="D9" s="300"/>
      <c r="E9" s="300"/>
      <c r="F9" s="300"/>
      <c r="G9" s="301" t="s">
        <v>355</v>
      </c>
      <c r="I9" s="27"/>
    </row>
    <row r="10" spans="1:17" s="25" customFormat="1" ht="12.9" customHeight="1">
      <c r="D10" s="26"/>
      <c r="E10" s="26"/>
      <c r="F10" s="26"/>
      <c r="G10" s="16"/>
      <c r="H10" s="65"/>
      <c r="I10" s="65"/>
      <c r="L10" s="65"/>
      <c r="Q10" s="65"/>
    </row>
    <row r="11" spans="1:17" s="10" customFormat="1" ht="13.5" customHeight="1">
      <c r="H11" s="59"/>
      <c r="I11" s="59"/>
      <c r="K11" s="59"/>
      <c r="L11" s="59"/>
      <c r="M11" s="59"/>
      <c r="N11" s="59"/>
      <c r="Q11" s="59"/>
    </row>
    <row r="12" spans="1:17" ht="13.5" customHeight="1">
      <c r="I12" s="57"/>
      <c r="L12" s="57"/>
      <c r="Q12" s="57"/>
    </row>
    <row r="13" spans="1:17" ht="13.5" customHeight="1">
      <c r="H13" s="56"/>
      <c r="I13" s="56"/>
      <c r="J13" s="56"/>
      <c r="K13" s="56"/>
      <c r="L13" s="56"/>
      <c r="Q13" s="56"/>
    </row>
    <row r="14" spans="1:17" ht="13.5" customHeight="1">
      <c r="H14" s="57"/>
      <c r="I14" s="57"/>
      <c r="L14" s="57"/>
    </row>
    <row r="15" spans="1:17" ht="13.5" customHeight="1">
      <c r="H15" s="56"/>
      <c r="I15" s="56"/>
      <c r="J15" s="56"/>
      <c r="L15" s="56"/>
      <c r="M15" s="56"/>
      <c r="N15" s="56"/>
      <c r="P15" s="56"/>
      <c r="Q15" s="56"/>
    </row>
    <row r="16" spans="1:17" ht="13.5" customHeight="1">
      <c r="H16" s="57"/>
      <c r="I16" s="57"/>
      <c r="L16" s="57"/>
      <c r="Q16" s="57"/>
    </row>
    <row r="17" spans="8:17" ht="13.5" customHeight="1">
      <c r="H17" s="56"/>
      <c r="I17" s="56"/>
      <c r="J17" s="56"/>
      <c r="L17" s="56"/>
      <c r="M17" s="56"/>
      <c r="N17" s="56"/>
      <c r="Q17" s="56"/>
    </row>
    <row r="18" spans="8:17" ht="13.5" customHeight="1"/>
    <row r="19" spans="8:17" ht="13.5" customHeight="1">
      <c r="H19" s="56"/>
      <c r="I19" s="56"/>
      <c r="J19" s="56"/>
      <c r="K19" s="56"/>
      <c r="L19" s="56"/>
      <c r="Q19" s="56"/>
    </row>
  </sheetData>
  <mergeCells count="2">
    <mergeCell ref="C2:C4"/>
    <mergeCell ref="F2:F4"/>
  </mergeCells>
  <phoneticPr fontId="3"/>
  <pageMargins left="0.70078740157480324" right="0.70078740157480324" top="0.74803149606299213" bottom="0.74803149606299213" header="0.31496062992125984" footer="0.31496062992125984"/>
  <pageSetup paperSize="9" fitToWidth="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5F5-18CD-4166-8736-07D3368D5D16}">
  <dimension ref="A1:G137"/>
  <sheetViews>
    <sheetView view="pageBreakPreview" zoomScale="110" zoomScaleNormal="100" zoomScaleSheetLayoutView="110" workbookViewId="0">
      <selection activeCell="G61" sqref="G61"/>
    </sheetView>
  </sheetViews>
  <sheetFormatPr defaultColWidth="9" defaultRowHeight="12.9" customHeight="1"/>
  <cols>
    <col min="1" max="1" width="3.77734375" style="3" customWidth="1"/>
    <col min="2" max="2" width="19.21875" style="3" customWidth="1"/>
    <col min="3" max="5" width="21.33203125" style="15" customWidth="1"/>
    <col min="6" max="6" width="4.109375" style="15" customWidth="1"/>
    <col min="7" max="7" width="22" style="15" bestFit="1" customWidth="1"/>
    <col min="8" max="16384" width="9" style="15"/>
  </cols>
  <sheetData>
    <row r="1" spans="1:7" s="22" customFormat="1" ht="15" customHeight="1">
      <c r="A1" s="84" t="s">
        <v>419</v>
      </c>
      <c r="B1" s="3"/>
      <c r="C1" s="465"/>
      <c r="D1" s="465"/>
      <c r="E1" s="122"/>
    </row>
    <row r="2" spans="1:7" s="31" customFormat="1" ht="15" customHeight="1" thickBot="1">
      <c r="A2" s="28" t="s">
        <v>223</v>
      </c>
      <c r="B2" s="3"/>
      <c r="C2" s="466"/>
      <c r="D2" s="466"/>
    </row>
    <row r="3" spans="1:7" s="1" customFormat="1" ht="15" customHeight="1" thickTop="1">
      <c r="A3" s="467"/>
      <c r="B3" s="468" t="s">
        <v>89</v>
      </c>
      <c r="C3" s="469" t="s">
        <v>178</v>
      </c>
      <c r="D3" s="469" t="s">
        <v>177</v>
      </c>
      <c r="E3" s="470" t="s">
        <v>176</v>
      </c>
    </row>
    <row r="4" spans="1:7" s="102" customFormat="1" ht="15" customHeight="1">
      <c r="A4" s="471" t="s">
        <v>175</v>
      </c>
      <c r="B4" s="472"/>
      <c r="C4" s="473" t="s">
        <v>174</v>
      </c>
      <c r="D4" s="473" t="s">
        <v>174</v>
      </c>
      <c r="E4" s="474" t="s">
        <v>420</v>
      </c>
    </row>
    <row r="5" spans="1:7" s="22" customFormat="1" ht="12.75" customHeight="1">
      <c r="A5" s="703" t="s">
        <v>352</v>
      </c>
      <c r="B5" s="703"/>
      <c r="C5" s="475">
        <v>364162049000</v>
      </c>
      <c r="D5" s="475">
        <v>352137016641</v>
      </c>
      <c r="E5" s="476">
        <v>96.7</v>
      </c>
      <c r="G5" s="101"/>
    </row>
    <row r="6" spans="1:7" s="22" customFormat="1" ht="12.75" customHeight="1">
      <c r="A6" s="706">
        <v>4</v>
      </c>
      <c r="B6" s="706"/>
      <c r="C6" s="475">
        <v>345656535000</v>
      </c>
      <c r="D6" s="475">
        <v>341282151251</v>
      </c>
      <c r="E6" s="476">
        <v>98.73</v>
      </c>
    </row>
    <row r="7" spans="1:7" s="22" customFormat="1" ht="12.75" customHeight="1">
      <c r="A7" s="705">
        <v>5</v>
      </c>
      <c r="B7" s="705"/>
      <c r="C7" s="477">
        <f>C9+C13+C18+C20+C22+C24+C26+C28+C30+C32+C34+C36+C38+C40+C43+C47+C51+C54+C56+C59+C65+C71</f>
        <v>338267045000</v>
      </c>
      <c r="D7" s="477">
        <f>D9+D13+D18+D20+D22+D24+D26+D28+D30+D32+D34+D36+D38+D40+D43+D47+D51+D54+D56+D59+D65+D71</f>
        <v>332184568311</v>
      </c>
      <c r="E7" s="478">
        <f>ROUND(D7/C7,4)*100</f>
        <v>98.2</v>
      </c>
    </row>
    <row r="8" spans="1:7" s="22" customFormat="1" ht="12.75" customHeight="1">
      <c r="A8" s="479" t="s">
        <v>222</v>
      </c>
      <c r="B8" s="480"/>
      <c r="C8" s="481"/>
      <c r="D8" s="482"/>
      <c r="E8" s="483"/>
    </row>
    <row r="9" spans="1:7" ht="12.75" customHeight="1">
      <c r="A9" s="704" t="s">
        <v>221</v>
      </c>
      <c r="B9" s="704"/>
      <c r="C9" s="484">
        <v>54366929000</v>
      </c>
      <c r="D9" s="484">
        <v>54825528398</v>
      </c>
      <c r="E9" s="485">
        <f t="shared" ref="E9:E60" si="0">ROUND(D9/C9,4)*100</f>
        <v>100.84</v>
      </c>
      <c r="G9" s="93"/>
    </row>
    <row r="10" spans="1:7" ht="12.75" customHeight="1">
      <c r="A10" s="163"/>
      <c r="B10" s="486" t="s">
        <v>220</v>
      </c>
      <c r="C10" s="487">
        <v>48217853000</v>
      </c>
      <c r="D10" s="487">
        <v>48632895370</v>
      </c>
      <c r="E10" s="485">
        <f t="shared" si="0"/>
        <v>100.86</v>
      </c>
      <c r="G10" s="22"/>
    </row>
    <row r="11" spans="1:7" ht="12.75" customHeight="1">
      <c r="A11" s="163"/>
      <c r="B11" s="486" t="s">
        <v>219</v>
      </c>
      <c r="C11" s="487">
        <v>573652000</v>
      </c>
      <c r="D11" s="487">
        <v>582867569</v>
      </c>
      <c r="E11" s="485">
        <f t="shared" si="0"/>
        <v>101.61</v>
      </c>
      <c r="G11" s="101"/>
    </row>
    <row r="12" spans="1:7" ht="12.75" customHeight="1">
      <c r="A12" s="163"/>
      <c r="B12" s="486" t="s">
        <v>218</v>
      </c>
      <c r="C12" s="487">
        <v>5575424000</v>
      </c>
      <c r="D12" s="487">
        <v>5609765459</v>
      </c>
      <c r="E12" s="485">
        <f t="shared" si="0"/>
        <v>100.62</v>
      </c>
    </row>
    <row r="13" spans="1:7" ht="12.75" customHeight="1">
      <c r="A13" s="704" t="s">
        <v>217</v>
      </c>
      <c r="B13" s="704"/>
      <c r="C13" s="484">
        <v>983701000</v>
      </c>
      <c r="D13" s="484">
        <v>1091566000</v>
      </c>
      <c r="E13" s="488">
        <f t="shared" si="0"/>
        <v>110.96999999999998</v>
      </c>
    </row>
    <row r="14" spans="1:7" ht="12.75" customHeight="1">
      <c r="A14" s="163"/>
      <c r="B14" s="486" t="s">
        <v>216</v>
      </c>
      <c r="C14" s="487">
        <v>237000000</v>
      </c>
      <c r="D14" s="487">
        <v>253638000</v>
      </c>
      <c r="E14" s="485">
        <f t="shared" si="0"/>
        <v>107.02000000000001</v>
      </c>
      <c r="G14" s="93"/>
    </row>
    <row r="15" spans="1:7" ht="12.75" customHeight="1">
      <c r="A15" s="163"/>
      <c r="B15" s="486" t="s">
        <v>421</v>
      </c>
      <c r="C15" s="487">
        <v>677000000</v>
      </c>
      <c r="D15" s="487">
        <v>764646000</v>
      </c>
      <c r="E15" s="485">
        <f t="shared" si="0"/>
        <v>112.94999999999999</v>
      </c>
    </row>
    <row r="16" spans="1:7" ht="12.75" customHeight="1">
      <c r="A16" s="163"/>
      <c r="B16" s="486" t="s">
        <v>215</v>
      </c>
      <c r="C16" s="487">
        <v>1000</v>
      </c>
      <c r="D16" s="487">
        <v>0</v>
      </c>
      <c r="E16" s="485">
        <f t="shared" si="0"/>
        <v>0</v>
      </c>
    </row>
    <row r="17" spans="1:7" ht="12.75" customHeight="1">
      <c r="A17" s="163"/>
      <c r="B17" s="486" t="s">
        <v>422</v>
      </c>
      <c r="C17" s="487">
        <v>69700000</v>
      </c>
      <c r="D17" s="487">
        <v>73282000</v>
      </c>
      <c r="E17" s="485">
        <f t="shared" si="0"/>
        <v>105.13999999999999</v>
      </c>
    </row>
    <row r="18" spans="1:7" ht="12.75" customHeight="1">
      <c r="A18" s="704" t="s">
        <v>214</v>
      </c>
      <c r="B18" s="704"/>
      <c r="C18" s="484">
        <v>177000000</v>
      </c>
      <c r="D18" s="484">
        <v>196828000</v>
      </c>
      <c r="E18" s="488">
        <f t="shared" si="0"/>
        <v>111.20000000000002</v>
      </c>
      <c r="G18" s="93"/>
    </row>
    <row r="19" spans="1:7" ht="12.75" customHeight="1">
      <c r="A19" s="163"/>
      <c r="B19" s="486" t="s">
        <v>53</v>
      </c>
      <c r="C19" s="487">
        <v>177000000</v>
      </c>
      <c r="D19" s="487">
        <v>196828000</v>
      </c>
      <c r="E19" s="485">
        <f t="shared" si="0"/>
        <v>111.20000000000002</v>
      </c>
    </row>
    <row r="20" spans="1:7" ht="12.75" customHeight="1">
      <c r="A20" s="704" t="s">
        <v>213</v>
      </c>
      <c r="B20" s="704"/>
      <c r="C20" s="484">
        <v>942000000</v>
      </c>
      <c r="D20" s="484">
        <v>1047032000</v>
      </c>
      <c r="E20" s="488">
        <f t="shared" si="0"/>
        <v>111.14999999999999</v>
      </c>
    </row>
    <row r="21" spans="1:7" ht="12.75" customHeight="1">
      <c r="A21" s="163"/>
      <c r="B21" s="486" t="s">
        <v>52</v>
      </c>
      <c r="C21" s="487">
        <v>942000000</v>
      </c>
      <c r="D21" s="487">
        <v>1047032000</v>
      </c>
      <c r="E21" s="485">
        <f t="shared" si="0"/>
        <v>111.14999999999999</v>
      </c>
    </row>
    <row r="22" spans="1:7" ht="12.75" customHeight="1">
      <c r="A22" s="704" t="s">
        <v>51</v>
      </c>
      <c r="B22" s="704"/>
      <c r="C22" s="484">
        <v>691000000</v>
      </c>
      <c r="D22" s="484">
        <v>1124346000</v>
      </c>
      <c r="E22" s="488">
        <f t="shared" si="0"/>
        <v>162.71</v>
      </c>
    </row>
    <row r="23" spans="1:7" ht="12.75" customHeight="1">
      <c r="A23" s="163"/>
      <c r="B23" s="489" t="s">
        <v>51</v>
      </c>
      <c r="C23" s="487">
        <v>691000000</v>
      </c>
      <c r="D23" s="487">
        <v>1124346000</v>
      </c>
      <c r="E23" s="485">
        <f t="shared" si="0"/>
        <v>162.71</v>
      </c>
    </row>
    <row r="24" spans="1:7" ht="12.75" customHeight="1">
      <c r="A24" s="704" t="s">
        <v>212</v>
      </c>
      <c r="B24" s="704"/>
      <c r="C24" s="484">
        <v>15300000000</v>
      </c>
      <c r="D24" s="484">
        <v>16216302000</v>
      </c>
      <c r="E24" s="488">
        <f t="shared" si="0"/>
        <v>105.99000000000001</v>
      </c>
    </row>
    <row r="25" spans="1:7" ht="12.75" customHeight="1">
      <c r="A25" s="163"/>
      <c r="B25" s="486" t="s">
        <v>50</v>
      </c>
      <c r="C25" s="490">
        <v>15300000000</v>
      </c>
      <c r="D25" s="490">
        <v>16216302000</v>
      </c>
      <c r="E25" s="485">
        <f t="shared" si="0"/>
        <v>105.99000000000001</v>
      </c>
    </row>
    <row r="26" spans="1:7" ht="12.75" customHeight="1">
      <c r="A26" s="708" t="s">
        <v>211</v>
      </c>
      <c r="B26" s="708"/>
      <c r="C26" s="484">
        <v>4876000</v>
      </c>
      <c r="D26" s="484">
        <v>8132034</v>
      </c>
      <c r="E26" s="488">
        <f t="shared" si="0"/>
        <v>166.78</v>
      </c>
    </row>
    <row r="27" spans="1:7" ht="12.75" customHeight="1">
      <c r="A27" s="163"/>
      <c r="B27" s="486" t="s">
        <v>49</v>
      </c>
      <c r="C27" s="487">
        <v>4876000</v>
      </c>
      <c r="D27" s="487">
        <v>8132034</v>
      </c>
      <c r="E27" s="485">
        <f t="shared" si="0"/>
        <v>166.78</v>
      </c>
    </row>
    <row r="28" spans="1:7" ht="12.75" customHeight="1">
      <c r="A28" s="704" t="s">
        <v>318</v>
      </c>
      <c r="B28" s="704"/>
      <c r="C28" s="484">
        <v>238000000</v>
      </c>
      <c r="D28" s="491">
        <v>304286261</v>
      </c>
      <c r="E28" s="488">
        <f t="shared" si="0"/>
        <v>127.85</v>
      </c>
    </row>
    <row r="29" spans="1:7" ht="12.75" customHeight="1">
      <c r="A29" s="163"/>
      <c r="B29" s="486" t="s">
        <v>318</v>
      </c>
      <c r="C29" s="492">
        <v>238000000</v>
      </c>
      <c r="D29" s="493">
        <v>304286261</v>
      </c>
      <c r="E29" s="485">
        <f t="shared" si="0"/>
        <v>127.85</v>
      </c>
    </row>
    <row r="30" spans="1:7" ht="12.15" customHeight="1">
      <c r="A30" s="707" t="s">
        <v>48</v>
      </c>
      <c r="B30" s="707"/>
      <c r="C30" s="491">
        <v>2570000</v>
      </c>
      <c r="D30" s="484">
        <v>2553232</v>
      </c>
      <c r="E30" s="488">
        <f t="shared" si="0"/>
        <v>99.350000000000009</v>
      </c>
    </row>
    <row r="31" spans="1:7" ht="12.15" customHeight="1">
      <c r="A31" s="100"/>
      <c r="B31" s="99" t="s">
        <v>48</v>
      </c>
      <c r="C31" s="493">
        <v>2570000</v>
      </c>
      <c r="D31" s="492">
        <v>2553232</v>
      </c>
      <c r="E31" s="485">
        <f t="shared" si="0"/>
        <v>99.350000000000009</v>
      </c>
      <c r="G31" s="93"/>
    </row>
    <row r="32" spans="1:7" ht="12.75" customHeight="1">
      <c r="A32" s="706" t="s">
        <v>210</v>
      </c>
      <c r="B32" s="706"/>
      <c r="C32" s="490">
        <v>659248000</v>
      </c>
      <c r="D32" s="490">
        <v>659248000</v>
      </c>
      <c r="E32" s="488">
        <f t="shared" si="0"/>
        <v>100</v>
      </c>
    </row>
    <row r="33" spans="1:7" ht="12.75" customHeight="1">
      <c r="A33" s="163"/>
      <c r="B33" s="486" t="s">
        <v>47</v>
      </c>
      <c r="C33" s="487">
        <v>659248000</v>
      </c>
      <c r="D33" s="487">
        <v>659248000</v>
      </c>
      <c r="E33" s="485">
        <f t="shared" si="0"/>
        <v>100</v>
      </c>
    </row>
    <row r="34" spans="1:7" ht="12.75" customHeight="1">
      <c r="A34" s="704" t="s">
        <v>46</v>
      </c>
      <c r="B34" s="704"/>
      <c r="C34" s="484">
        <v>73000000</v>
      </c>
      <c r="D34" s="484">
        <v>72732000</v>
      </c>
      <c r="E34" s="488">
        <f t="shared" si="0"/>
        <v>99.63</v>
      </c>
    </row>
    <row r="35" spans="1:7" ht="12.75" customHeight="1">
      <c r="A35" s="163"/>
      <c r="B35" s="489" t="s">
        <v>46</v>
      </c>
      <c r="C35" s="487">
        <v>73000000</v>
      </c>
      <c r="D35" s="487">
        <v>72732000</v>
      </c>
      <c r="E35" s="485">
        <f t="shared" si="0"/>
        <v>99.63</v>
      </c>
    </row>
    <row r="36" spans="1:7" ht="12.75" customHeight="1">
      <c r="A36" s="704" t="s">
        <v>209</v>
      </c>
      <c r="B36" s="704"/>
      <c r="C36" s="484">
        <v>111059000000</v>
      </c>
      <c r="D36" s="484">
        <v>112740738000</v>
      </c>
      <c r="E36" s="488">
        <f t="shared" si="0"/>
        <v>101.50999999999999</v>
      </c>
    </row>
    <row r="37" spans="1:7" ht="12.75" customHeight="1">
      <c r="A37" s="163"/>
      <c r="B37" s="486" t="s">
        <v>208</v>
      </c>
      <c r="C37" s="487">
        <v>111059000000</v>
      </c>
      <c r="D37" s="487">
        <v>112740738000</v>
      </c>
      <c r="E37" s="494">
        <f t="shared" si="0"/>
        <v>101.50999999999999</v>
      </c>
    </row>
    <row r="38" spans="1:7" ht="12.75" customHeight="1">
      <c r="A38" s="704" t="s">
        <v>207</v>
      </c>
      <c r="B38" s="704"/>
      <c r="C38" s="484">
        <v>2229693000</v>
      </c>
      <c r="D38" s="484">
        <v>2245197316</v>
      </c>
      <c r="E38" s="485">
        <f t="shared" si="0"/>
        <v>100.69999999999999</v>
      </c>
    </row>
    <row r="39" spans="1:7" ht="12.75" customHeight="1">
      <c r="A39" s="163"/>
      <c r="B39" s="486" t="s">
        <v>206</v>
      </c>
      <c r="C39" s="487">
        <v>2229693000</v>
      </c>
      <c r="D39" s="487">
        <v>2245197316</v>
      </c>
      <c r="E39" s="485">
        <f t="shared" si="0"/>
        <v>100.69999999999999</v>
      </c>
    </row>
    <row r="40" spans="1:7" ht="12.75" customHeight="1">
      <c r="A40" s="704" t="s">
        <v>205</v>
      </c>
      <c r="B40" s="704"/>
      <c r="C40" s="484">
        <v>4668866000</v>
      </c>
      <c r="D40" s="484">
        <v>4627597782</v>
      </c>
      <c r="E40" s="488">
        <f t="shared" si="0"/>
        <v>99.11999999999999</v>
      </c>
    </row>
    <row r="41" spans="1:7" ht="12.75" customHeight="1">
      <c r="A41" s="163"/>
      <c r="B41" s="486" t="s">
        <v>204</v>
      </c>
      <c r="C41" s="487">
        <v>3888085000</v>
      </c>
      <c r="D41" s="487">
        <v>3886267792</v>
      </c>
      <c r="E41" s="485">
        <f t="shared" si="0"/>
        <v>99.95</v>
      </c>
    </row>
    <row r="42" spans="1:7" ht="12.75" customHeight="1">
      <c r="A42" s="163"/>
      <c r="B42" s="486" t="s">
        <v>203</v>
      </c>
      <c r="C42" s="487">
        <v>780781000</v>
      </c>
      <c r="D42" s="487">
        <v>741329990</v>
      </c>
      <c r="E42" s="494">
        <f t="shared" si="0"/>
        <v>94.95</v>
      </c>
    </row>
    <row r="43" spans="1:7" ht="12.75" customHeight="1">
      <c r="A43" s="704" t="s">
        <v>202</v>
      </c>
      <c r="B43" s="704"/>
      <c r="C43" s="484">
        <v>71655037000</v>
      </c>
      <c r="D43" s="484">
        <v>71549267891</v>
      </c>
      <c r="E43" s="485">
        <f t="shared" si="0"/>
        <v>99.850000000000009</v>
      </c>
      <c r="G43" s="93"/>
    </row>
    <row r="44" spans="1:7" ht="12.75" customHeight="1">
      <c r="A44" s="163"/>
      <c r="B44" s="486" t="s">
        <v>201</v>
      </c>
      <c r="C44" s="490">
        <v>64271188000</v>
      </c>
      <c r="D44" s="490">
        <v>63970774432</v>
      </c>
      <c r="E44" s="485">
        <f t="shared" si="0"/>
        <v>99.53</v>
      </c>
    </row>
    <row r="45" spans="1:7" ht="12.75" customHeight="1">
      <c r="A45" s="163"/>
      <c r="B45" s="486" t="s">
        <v>200</v>
      </c>
      <c r="C45" s="490">
        <v>7359135000</v>
      </c>
      <c r="D45" s="490">
        <v>7557667292</v>
      </c>
      <c r="E45" s="485">
        <f t="shared" si="0"/>
        <v>102.69999999999999</v>
      </c>
    </row>
    <row r="46" spans="1:7" ht="12.75" customHeight="1">
      <c r="A46" s="163"/>
      <c r="B46" s="486" t="s">
        <v>199</v>
      </c>
      <c r="C46" s="490">
        <v>24714000</v>
      </c>
      <c r="D46" s="490">
        <v>20826167</v>
      </c>
      <c r="E46" s="485">
        <f t="shared" si="0"/>
        <v>84.27</v>
      </c>
    </row>
    <row r="47" spans="1:7" ht="12.75" customHeight="1">
      <c r="A47" s="704" t="s">
        <v>198</v>
      </c>
      <c r="B47" s="704"/>
      <c r="C47" s="484">
        <v>41957240000</v>
      </c>
      <c r="D47" s="484">
        <v>37095184750</v>
      </c>
      <c r="E47" s="488">
        <f t="shared" si="0"/>
        <v>88.41</v>
      </c>
      <c r="G47" s="93"/>
    </row>
    <row r="48" spans="1:7" ht="12.75" customHeight="1">
      <c r="A48" s="163"/>
      <c r="B48" s="486" t="s">
        <v>197</v>
      </c>
      <c r="C48" s="490">
        <v>15614808000</v>
      </c>
      <c r="D48" s="490">
        <v>15407236377</v>
      </c>
      <c r="E48" s="485">
        <f t="shared" si="0"/>
        <v>98.67</v>
      </c>
    </row>
    <row r="49" spans="1:7" ht="12.75" customHeight="1">
      <c r="A49" s="163"/>
      <c r="B49" s="486" t="s">
        <v>196</v>
      </c>
      <c r="C49" s="490">
        <v>24916567000</v>
      </c>
      <c r="D49" s="490">
        <v>20260475346</v>
      </c>
      <c r="E49" s="485">
        <f t="shared" si="0"/>
        <v>81.31</v>
      </c>
    </row>
    <row r="50" spans="1:7" ht="12.75" customHeight="1">
      <c r="A50" s="163"/>
      <c r="B50" s="486" t="s">
        <v>195</v>
      </c>
      <c r="C50" s="490">
        <v>1425865000</v>
      </c>
      <c r="D50" s="490">
        <v>1427473027</v>
      </c>
      <c r="E50" s="494">
        <f t="shared" si="0"/>
        <v>100.11000000000001</v>
      </c>
    </row>
    <row r="51" spans="1:7" ht="12.75" customHeight="1">
      <c r="A51" s="704" t="s">
        <v>194</v>
      </c>
      <c r="B51" s="704"/>
      <c r="C51" s="484">
        <v>684024000</v>
      </c>
      <c r="D51" s="484">
        <v>1003133642</v>
      </c>
      <c r="E51" s="485">
        <f t="shared" si="0"/>
        <v>146.64999999999998</v>
      </c>
      <c r="G51" s="93"/>
    </row>
    <row r="52" spans="1:7" ht="12.75" customHeight="1">
      <c r="A52" s="163"/>
      <c r="B52" s="486" t="s">
        <v>193</v>
      </c>
      <c r="C52" s="490">
        <v>642485000</v>
      </c>
      <c r="D52" s="490">
        <v>942690184</v>
      </c>
      <c r="E52" s="485">
        <f t="shared" si="0"/>
        <v>146.73000000000002</v>
      </c>
    </row>
    <row r="53" spans="1:7" ht="12.75" customHeight="1">
      <c r="A53" s="163"/>
      <c r="B53" s="486" t="s">
        <v>192</v>
      </c>
      <c r="C53" s="490">
        <v>41539000</v>
      </c>
      <c r="D53" s="490">
        <v>60443458</v>
      </c>
      <c r="E53" s="485">
        <f t="shared" si="0"/>
        <v>145.51000000000002</v>
      </c>
    </row>
    <row r="54" spans="1:7" ht="12.75" customHeight="1">
      <c r="A54" s="704" t="s">
        <v>191</v>
      </c>
      <c r="B54" s="704"/>
      <c r="C54" s="484">
        <v>219124000</v>
      </c>
      <c r="D54" s="484">
        <v>254254795</v>
      </c>
      <c r="E54" s="488">
        <f t="shared" si="0"/>
        <v>116.03000000000002</v>
      </c>
    </row>
    <row r="55" spans="1:7" ht="12.75" customHeight="1">
      <c r="A55" s="163"/>
      <c r="B55" s="486" t="s">
        <v>190</v>
      </c>
      <c r="C55" s="490">
        <v>219124000</v>
      </c>
      <c r="D55" s="490">
        <v>254254795</v>
      </c>
      <c r="E55" s="494">
        <f t="shared" si="0"/>
        <v>116.03000000000002</v>
      </c>
    </row>
    <row r="56" spans="1:7" ht="12.75" customHeight="1">
      <c r="A56" s="704" t="s">
        <v>189</v>
      </c>
      <c r="B56" s="704"/>
      <c r="C56" s="484">
        <v>21686276000</v>
      </c>
      <c r="D56" s="484">
        <v>16376685333</v>
      </c>
      <c r="E56" s="485">
        <f t="shared" si="0"/>
        <v>75.52</v>
      </c>
    </row>
    <row r="57" spans="1:7" ht="12.75" customHeight="1">
      <c r="A57" s="163"/>
      <c r="B57" s="486" t="s">
        <v>188</v>
      </c>
      <c r="C57" s="490">
        <v>20822060000</v>
      </c>
      <c r="D57" s="490">
        <v>15512470501</v>
      </c>
      <c r="E57" s="485">
        <f t="shared" si="0"/>
        <v>74.5</v>
      </c>
      <c r="G57" s="93"/>
    </row>
    <row r="58" spans="1:7" ht="12.75" customHeight="1">
      <c r="A58" s="163"/>
      <c r="B58" s="486" t="s">
        <v>187</v>
      </c>
      <c r="C58" s="487">
        <v>864216000</v>
      </c>
      <c r="D58" s="487">
        <v>864214832</v>
      </c>
      <c r="E58" s="485">
        <f t="shared" si="0"/>
        <v>100</v>
      </c>
    </row>
    <row r="59" spans="1:7" ht="12.75" customHeight="1">
      <c r="A59" s="704" t="s">
        <v>186</v>
      </c>
      <c r="B59" s="704"/>
      <c r="C59" s="484">
        <v>7396264000</v>
      </c>
      <c r="D59" s="484">
        <v>7396263691</v>
      </c>
      <c r="E59" s="488">
        <f t="shared" si="0"/>
        <v>100</v>
      </c>
    </row>
    <row r="60" spans="1:7" ht="12.75" customHeight="1">
      <c r="A60" s="495"/>
      <c r="B60" s="496" t="s">
        <v>185</v>
      </c>
      <c r="C60" s="497">
        <v>7396264000</v>
      </c>
      <c r="D60" s="497">
        <v>7396263691</v>
      </c>
      <c r="E60" s="485">
        <f t="shared" si="0"/>
        <v>100</v>
      </c>
    </row>
    <row r="61" spans="1:7" ht="12.75" customHeight="1">
      <c r="A61" s="498"/>
      <c r="B61" s="498"/>
      <c r="C61" s="499"/>
      <c r="D61" s="499"/>
      <c r="E61" s="500"/>
    </row>
    <row r="62" spans="1:7" ht="5.0999999999999996" customHeight="1" thickBot="1">
      <c r="A62" s="98"/>
      <c r="B62" s="98"/>
      <c r="C62" s="501"/>
      <c r="D62" s="501"/>
      <c r="E62" s="502"/>
    </row>
    <row r="63" spans="1:7" ht="12.75" customHeight="1" thickTop="1">
      <c r="A63" s="467"/>
      <c r="B63" s="468" t="s">
        <v>89</v>
      </c>
      <c r="C63" s="469" t="s">
        <v>178</v>
      </c>
      <c r="D63" s="469" t="s">
        <v>177</v>
      </c>
      <c r="E63" s="470" t="s">
        <v>176</v>
      </c>
    </row>
    <row r="64" spans="1:7" ht="12.75" customHeight="1">
      <c r="A64" s="471" t="s">
        <v>175</v>
      </c>
      <c r="B64" s="472"/>
      <c r="C64" s="473" t="s">
        <v>174</v>
      </c>
      <c r="D64" s="473" t="s">
        <v>174</v>
      </c>
      <c r="E64" s="474" t="s">
        <v>420</v>
      </c>
    </row>
    <row r="65" spans="1:7" ht="12.15" customHeight="1">
      <c r="A65" s="704" t="s">
        <v>423</v>
      </c>
      <c r="B65" s="704"/>
      <c r="C65" s="484">
        <v>3269197000</v>
      </c>
      <c r="D65" s="484">
        <v>3347691186</v>
      </c>
      <c r="E65" s="503">
        <f t="shared" ref="E65:E72" si="1">ROUND(D65/C65,4)*100</f>
        <v>102.4</v>
      </c>
      <c r="G65" s="93"/>
    </row>
    <row r="66" spans="1:7" ht="12.15" customHeight="1">
      <c r="A66" s="163"/>
      <c r="B66" s="489" t="s">
        <v>184</v>
      </c>
      <c r="C66" s="487">
        <v>59000000</v>
      </c>
      <c r="D66" s="487">
        <v>56673892</v>
      </c>
      <c r="E66" s="503">
        <f t="shared" si="1"/>
        <v>96.06</v>
      </c>
    </row>
    <row r="67" spans="1:7" ht="12.15" customHeight="1">
      <c r="A67" s="163"/>
      <c r="B67" s="486" t="s">
        <v>183</v>
      </c>
      <c r="C67" s="487">
        <v>91000</v>
      </c>
      <c r="D67" s="487">
        <v>94139</v>
      </c>
      <c r="E67" s="503">
        <f t="shared" si="1"/>
        <v>103.45</v>
      </c>
    </row>
    <row r="68" spans="1:7" ht="12.15" customHeight="1">
      <c r="A68" s="163"/>
      <c r="B68" s="486" t="s">
        <v>182</v>
      </c>
      <c r="C68" s="487">
        <v>81799000</v>
      </c>
      <c r="D68" s="487">
        <v>99451659</v>
      </c>
      <c r="E68" s="503">
        <f t="shared" si="1"/>
        <v>121.58</v>
      </c>
      <c r="G68" s="93"/>
    </row>
    <row r="69" spans="1:7" ht="12.15" customHeight="1">
      <c r="A69" s="163"/>
      <c r="B69" s="486" t="s">
        <v>181</v>
      </c>
      <c r="C69" s="487">
        <v>237978000</v>
      </c>
      <c r="D69" s="487">
        <v>231284490</v>
      </c>
      <c r="E69" s="503">
        <f t="shared" si="1"/>
        <v>97.19</v>
      </c>
    </row>
    <row r="70" spans="1:7" ht="12.15" customHeight="1">
      <c r="A70" s="97"/>
      <c r="B70" s="96" t="s">
        <v>180</v>
      </c>
      <c r="C70" s="492">
        <v>2890329000</v>
      </c>
      <c r="D70" s="492">
        <v>2960187006</v>
      </c>
      <c r="E70" s="503">
        <f t="shared" si="1"/>
        <v>102.42</v>
      </c>
    </row>
    <row r="71" spans="1:7" ht="12.15" customHeight="1">
      <c r="A71" s="709" t="s">
        <v>35</v>
      </c>
      <c r="B71" s="709"/>
      <c r="C71" s="487">
        <v>4000000</v>
      </c>
      <c r="D71" s="490">
        <v>0</v>
      </c>
      <c r="E71" s="504">
        <f t="shared" si="1"/>
        <v>0</v>
      </c>
      <c r="G71" s="93"/>
    </row>
    <row r="72" spans="1:7" ht="12.15" customHeight="1">
      <c r="A72" s="505"/>
      <c r="B72" s="506" t="s">
        <v>424</v>
      </c>
      <c r="C72" s="497">
        <v>4000000</v>
      </c>
      <c r="D72" s="507">
        <v>0</v>
      </c>
      <c r="E72" s="508">
        <f t="shared" si="1"/>
        <v>0</v>
      </c>
    </row>
    <row r="73" spans="1:7" ht="12.15" customHeight="1">
      <c r="A73" s="15"/>
      <c r="B73" s="15"/>
    </row>
    <row r="74" spans="1:7" ht="12.15" customHeight="1">
      <c r="A74" s="95"/>
      <c r="B74" s="95"/>
      <c r="C74" s="509"/>
      <c r="D74" s="509"/>
      <c r="E74" s="510"/>
      <c r="G74" s="93"/>
    </row>
    <row r="75" spans="1:7" ht="15" customHeight="1" thickBot="1">
      <c r="A75" s="49" t="s">
        <v>179</v>
      </c>
      <c r="B75" s="95"/>
      <c r="C75" s="113"/>
      <c r="D75" s="113"/>
      <c r="E75" s="94"/>
    </row>
    <row r="76" spans="1:7" ht="15" customHeight="1" thickTop="1">
      <c r="A76" s="467"/>
      <c r="B76" s="468" t="s">
        <v>89</v>
      </c>
      <c r="C76" s="469" t="s">
        <v>178</v>
      </c>
      <c r="D76" s="469" t="s">
        <v>177</v>
      </c>
      <c r="E76" s="470" t="s">
        <v>176</v>
      </c>
    </row>
    <row r="77" spans="1:7" ht="15" customHeight="1">
      <c r="A77" s="471" t="s">
        <v>175</v>
      </c>
      <c r="B77" s="472"/>
      <c r="C77" s="473" t="s">
        <v>174</v>
      </c>
      <c r="D77" s="473" t="s">
        <v>174</v>
      </c>
      <c r="E77" s="474" t="s">
        <v>420</v>
      </c>
      <c r="G77" s="93"/>
    </row>
    <row r="78" spans="1:7" ht="12.15" customHeight="1">
      <c r="A78" s="703" t="s">
        <v>352</v>
      </c>
      <c r="B78" s="703"/>
      <c r="C78" s="481">
        <v>364162049000</v>
      </c>
      <c r="D78" s="481">
        <v>339184459045</v>
      </c>
      <c r="E78" s="476">
        <v>93.14</v>
      </c>
    </row>
    <row r="79" spans="1:7" ht="12.15" customHeight="1">
      <c r="A79" s="706">
        <v>4</v>
      </c>
      <c r="B79" s="706"/>
      <c r="C79" s="475">
        <v>345656535000</v>
      </c>
      <c r="D79" s="511">
        <v>327285887560</v>
      </c>
      <c r="E79" s="476">
        <v>94.69</v>
      </c>
    </row>
    <row r="80" spans="1:7" ht="12.15" customHeight="1">
      <c r="A80" s="705">
        <v>5</v>
      </c>
      <c r="B80" s="705"/>
      <c r="C80" s="477">
        <f>C82+C84+C92+C97+C100+C104+C109+C117+C119+C121</f>
        <v>338267045000</v>
      </c>
      <c r="D80" s="477">
        <f>D82+D84+D92+D97+D100+D104+D109+D117+D119+D121</f>
        <v>317782431714</v>
      </c>
      <c r="E80" s="478">
        <f>ROUND(D80/C80,4)*100</f>
        <v>93.94</v>
      </c>
      <c r="G80" s="93"/>
    </row>
    <row r="81" spans="1:7" ht="12.15" customHeight="1">
      <c r="A81" s="163"/>
      <c r="B81" s="486"/>
      <c r="C81" s="512"/>
      <c r="D81" s="512"/>
      <c r="E81" s="513"/>
    </row>
    <row r="82" spans="1:7" ht="12.15" customHeight="1">
      <c r="A82" s="704" t="s">
        <v>173</v>
      </c>
      <c r="B82" s="704"/>
      <c r="C82" s="484">
        <v>966770000</v>
      </c>
      <c r="D82" s="484">
        <v>942585961</v>
      </c>
      <c r="E82" s="503">
        <f t="shared" ref="E82:E122" si="2">ROUND(D82/C82,4)*100</f>
        <v>97.5</v>
      </c>
    </row>
    <row r="83" spans="1:7" ht="12.15" customHeight="1">
      <c r="A83" s="163"/>
      <c r="B83" s="486" t="s">
        <v>172</v>
      </c>
      <c r="C83" s="487">
        <v>966770000</v>
      </c>
      <c r="D83" s="487">
        <v>942585961</v>
      </c>
      <c r="E83" s="514">
        <f t="shared" si="2"/>
        <v>97.5</v>
      </c>
      <c r="G83" s="93"/>
    </row>
    <row r="84" spans="1:7" ht="12.15" customHeight="1">
      <c r="A84" s="704" t="s">
        <v>171</v>
      </c>
      <c r="B84" s="704"/>
      <c r="C84" s="491">
        <v>37709192000</v>
      </c>
      <c r="D84" s="491">
        <v>35808303893</v>
      </c>
      <c r="E84" s="503">
        <f t="shared" si="2"/>
        <v>94.96</v>
      </c>
    </row>
    <row r="85" spans="1:7" ht="12.15" customHeight="1">
      <c r="A85" s="163"/>
      <c r="B85" s="486" t="s">
        <v>170</v>
      </c>
      <c r="C85" s="487">
        <v>32052667000</v>
      </c>
      <c r="D85" s="487">
        <v>30375891917</v>
      </c>
      <c r="E85" s="503">
        <f t="shared" si="2"/>
        <v>94.77</v>
      </c>
    </row>
    <row r="86" spans="1:7" ht="12.15" customHeight="1">
      <c r="A86" s="163"/>
      <c r="B86" s="486" t="s">
        <v>169</v>
      </c>
      <c r="C86" s="487">
        <v>1443238000</v>
      </c>
      <c r="D86" s="487">
        <v>1391428573</v>
      </c>
      <c r="E86" s="503">
        <f t="shared" si="2"/>
        <v>96.41</v>
      </c>
      <c r="G86" s="93"/>
    </row>
    <row r="87" spans="1:7" ht="12.15" customHeight="1">
      <c r="A87" s="163"/>
      <c r="B87" s="486" t="s">
        <v>168</v>
      </c>
      <c r="C87" s="487">
        <v>2587468000</v>
      </c>
      <c r="D87" s="487">
        <v>2462843026</v>
      </c>
      <c r="E87" s="503">
        <f t="shared" si="2"/>
        <v>95.179999999999993</v>
      </c>
    </row>
    <row r="88" spans="1:7" ht="12.15" customHeight="1">
      <c r="A88" s="163"/>
      <c r="B88" s="486" t="s">
        <v>425</v>
      </c>
      <c r="C88" s="490">
        <v>993884000</v>
      </c>
      <c r="D88" s="490">
        <v>984248685</v>
      </c>
      <c r="E88" s="503">
        <f t="shared" si="2"/>
        <v>99.03</v>
      </c>
    </row>
    <row r="89" spans="1:7" ht="12.15" customHeight="1">
      <c r="A89" s="163"/>
      <c r="B89" s="486" t="s">
        <v>167</v>
      </c>
      <c r="C89" s="487">
        <v>452839000</v>
      </c>
      <c r="D89" s="487">
        <v>426226839</v>
      </c>
      <c r="E89" s="503">
        <f t="shared" si="2"/>
        <v>94.12</v>
      </c>
      <c r="G89" s="93"/>
    </row>
    <row r="90" spans="1:7" ht="12.15" customHeight="1">
      <c r="A90" s="163"/>
      <c r="B90" s="486" t="s">
        <v>166</v>
      </c>
      <c r="C90" s="487">
        <v>65480000</v>
      </c>
      <c r="D90" s="487">
        <v>61160515</v>
      </c>
      <c r="E90" s="503">
        <f t="shared" si="2"/>
        <v>93.4</v>
      </c>
    </row>
    <row r="91" spans="1:7" ht="12.15" customHeight="1">
      <c r="A91" s="163"/>
      <c r="B91" s="486" t="s">
        <v>165</v>
      </c>
      <c r="C91" s="487">
        <v>113616000</v>
      </c>
      <c r="D91" s="487">
        <v>106504338</v>
      </c>
      <c r="E91" s="514">
        <f t="shared" si="2"/>
        <v>93.74</v>
      </c>
    </row>
    <row r="92" spans="1:7" ht="12.15" customHeight="1">
      <c r="A92" s="704" t="s">
        <v>164</v>
      </c>
      <c r="B92" s="704"/>
      <c r="C92" s="491">
        <v>167730780000</v>
      </c>
      <c r="D92" s="491">
        <v>159649758147</v>
      </c>
      <c r="E92" s="503">
        <f t="shared" si="2"/>
        <v>95.179999999999993</v>
      </c>
      <c r="G92" s="93"/>
    </row>
    <row r="93" spans="1:7" ht="12.15" customHeight="1">
      <c r="A93" s="163"/>
      <c r="B93" s="486" t="s">
        <v>163</v>
      </c>
      <c r="C93" s="487">
        <v>61258124000</v>
      </c>
      <c r="D93" s="487">
        <v>56169684490</v>
      </c>
      <c r="E93" s="503">
        <f t="shared" si="2"/>
        <v>91.69</v>
      </c>
    </row>
    <row r="94" spans="1:7" ht="12.15" customHeight="1">
      <c r="A94" s="163"/>
      <c r="B94" s="486" t="s">
        <v>162</v>
      </c>
      <c r="C94" s="487">
        <v>56037484000</v>
      </c>
      <c r="D94" s="487">
        <v>54172818736</v>
      </c>
      <c r="E94" s="503">
        <f t="shared" si="2"/>
        <v>96.67</v>
      </c>
    </row>
    <row r="95" spans="1:7" ht="12.15" customHeight="1">
      <c r="A95" s="163"/>
      <c r="B95" s="486" t="s">
        <v>161</v>
      </c>
      <c r="C95" s="487">
        <v>50280808000</v>
      </c>
      <c r="D95" s="487">
        <v>49153908209</v>
      </c>
      <c r="E95" s="503">
        <f t="shared" si="2"/>
        <v>97.76</v>
      </c>
      <c r="G95" s="93"/>
    </row>
    <row r="96" spans="1:7" ht="12.15" customHeight="1">
      <c r="A96" s="163"/>
      <c r="B96" s="486" t="s">
        <v>160</v>
      </c>
      <c r="C96" s="487">
        <v>154364000</v>
      </c>
      <c r="D96" s="487">
        <v>153346712</v>
      </c>
      <c r="E96" s="514">
        <f t="shared" si="2"/>
        <v>99.339999999999989</v>
      </c>
    </row>
    <row r="97" spans="1:7" ht="12.15" customHeight="1">
      <c r="A97" s="704" t="s">
        <v>159</v>
      </c>
      <c r="B97" s="704"/>
      <c r="C97" s="491">
        <v>6483828000</v>
      </c>
      <c r="D97" s="491">
        <v>5509539184</v>
      </c>
      <c r="E97" s="503">
        <f t="shared" si="2"/>
        <v>84.97</v>
      </c>
    </row>
    <row r="98" spans="1:7" ht="12.15" customHeight="1">
      <c r="A98" s="163"/>
      <c r="B98" s="486" t="s">
        <v>158</v>
      </c>
      <c r="C98" s="487">
        <v>6391551000</v>
      </c>
      <c r="D98" s="487">
        <v>5423522853</v>
      </c>
      <c r="E98" s="503">
        <f t="shared" si="2"/>
        <v>84.850000000000009</v>
      </c>
      <c r="G98" s="93"/>
    </row>
    <row r="99" spans="1:7" ht="12.15" customHeight="1">
      <c r="A99" s="163"/>
      <c r="B99" s="486" t="s">
        <v>157</v>
      </c>
      <c r="C99" s="487">
        <v>92277000</v>
      </c>
      <c r="D99" s="487">
        <v>86016331</v>
      </c>
      <c r="E99" s="514">
        <f t="shared" si="2"/>
        <v>93.22</v>
      </c>
    </row>
    <row r="100" spans="1:7" ht="12.15" customHeight="1">
      <c r="A100" s="704" t="s">
        <v>156</v>
      </c>
      <c r="B100" s="704"/>
      <c r="C100" s="491">
        <v>24313861000</v>
      </c>
      <c r="D100" s="491">
        <v>22836955417</v>
      </c>
      <c r="E100" s="503">
        <f t="shared" si="2"/>
        <v>93.93</v>
      </c>
    </row>
    <row r="101" spans="1:7" ht="12.15" customHeight="1">
      <c r="A101" s="163"/>
      <c r="B101" s="486" t="s">
        <v>155</v>
      </c>
      <c r="C101" s="487">
        <v>690465000</v>
      </c>
      <c r="D101" s="487">
        <v>660507837</v>
      </c>
      <c r="E101" s="503">
        <f t="shared" si="2"/>
        <v>95.66</v>
      </c>
      <c r="G101" s="93"/>
    </row>
    <row r="102" spans="1:7" ht="12.15" customHeight="1">
      <c r="A102" s="163"/>
      <c r="B102" s="486" t="s">
        <v>154</v>
      </c>
      <c r="C102" s="487">
        <v>15074568000</v>
      </c>
      <c r="D102" s="487">
        <v>13935065414</v>
      </c>
      <c r="E102" s="503">
        <f t="shared" si="2"/>
        <v>92.44</v>
      </c>
    </row>
    <row r="103" spans="1:7" ht="12.15" customHeight="1">
      <c r="A103" s="163"/>
      <c r="B103" s="486" t="s">
        <v>153</v>
      </c>
      <c r="C103" s="487">
        <v>8548828000</v>
      </c>
      <c r="D103" s="487">
        <v>8241382166</v>
      </c>
      <c r="E103" s="514">
        <f t="shared" si="2"/>
        <v>96.399999999999991</v>
      </c>
    </row>
    <row r="104" spans="1:7" ht="12.15" customHeight="1">
      <c r="A104" s="704" t="s">
        <v>152</v>
      </c>
      <c r="B104" s="704"/>
      <c r="C104" s="491">
        <v>25129509000</v>
      </c>
      <c r="D104" s="491">
        <v>22906977348</v>
      </c>
      <c r="E104" s="503">
        <f t="shared" si="2"/>
        <v>91.16</v>
      </c>
      <c r="G104" s="93"/>
    </row>
    <row r="105" spans="1:7" ht="12.15" customHeight="1">
      <c r="A105" s="163"/>
      <c r="B105" s="486" t="s">
        <v>151</v>
      </c>
      <c r="C105" s="487">
        <v>1910316000</v>
      </c>
      <c r="D105" s="487">
        <v>1820130945</v>
      </c>
      <c r="E105" s="503">
        <f t="shared" si="2"/>
        <v>95.28</v>
      </c>
    </row>
    <row r="106" spans="1:7" ht="12.15" customHeight="1">
      <c r="A106" s="163"/>
      <c r="B106" s="486" t="s">
        <v>150</v>
      </c>
      <c r="C106" s="487">
        <v>5569171000</v>
      </c>
      <c r="D106" s="487">
        <v>4957002017</v>
      </c>
      <c r="E106" s="503">
        <f t="shared" si="2"/>
        <v>89.01</v>
      </c>
    </row>
    <row r="107" spans="1:7" ht="12.15" customHeight="1">
      <c r="A107" s="163"/>
      <c r="B107" s="486" t="s">
        <v>149</v>
      </c>
      <c r="C107" s="487">
        <v>658247000</v>
      </c>
      <c r="D107" s="487">
        <v>604027748</v>
      </c>
      <c r="E107" s="503">
        <f t="shared" si="2"/>
        <v>91.759999999999991</v>
      </c>
      <c r="G107" s="93"/>
    </row>
    <row r="108" spans="1:7" ht="12.15" customHeight="1">
      <c r="A108" s="163"/>
      <c r="B108" s="486" t="s">
        <v>148</v>
      </c>
      <c r="C108" s="487">
        <v>16991775000</v>
      </c>
      <c r="D108" s="487">
        <v>15525816638</v>
      </c>
      <c r="E108" s="514">
        <f t="shared" si="2"/>
        <v>91.36999999999999</v>
      </c>
    </row>
    <row r="109" spans="1:7" ht="12.15" customHeight="1">
      <c r="A109" s="704" t="s">
        <v>147</v>
      </c>
      <c r="B109" s="704"/>
      <c r="C109" s="491">
        <v>44875509000</v>
      </c>
      <c r="D109" s="491">
        <v>40536752121</v>
      </c>
      <c r="E109" s="503">
        <f t="shared" si="2"/>
        <v>90.33</v>
      </c>
    </row>
    <row r="110" spans="1:7" ht="12.15" customHeight="1">
      <c r="A110" s="163"/>
      <c r="B110" s="486" t="s">
        <v>146</v>
      </c>
      <c r="C110" s="487">
        <v>15499236000</v>
      </c>
      <c r="D110" s="487">
        <v>15068591242</v>
      </c>
      <c r="E110" s="503">
        <f t="shared" si="2"/>
        <v>97.22</v>
      </c>
      <c r="G110" s="93"/>
    </row>
    <row r="111" spans="1:7" ht="12.15" customHeight="1">
      <c r="A111" s="163"/>
      <c r="B111" s="486" t="s">
        <v>145</v>
      </c>
      <c r="C111" s="487">
        <v>11425289000</v>
      </c>
      <c r="D111" s="487">
        <v>10599604710</v>
      </c>
      <c r="E111" s="503">
        <f t="shared" si="2"/>
        <v>92.77</v>
      </c>
    </row>
    <row r="112" spans="1:7" ht="12.15" customHeight="1">
      <c r="A112" s="163"/>
      <c r="B112" s="486" t="s">
        <v>144</v>
      </c>
      <c r="C112" s="487">
        <v>9677179000</v>
      </c>
      <c r="D112" s="487">
        <v>7353003223</v>
      </c>
      <c r="E112" s="503">
        <f t="shared" si="2"/>
        <v>75.98</v>
      </c>
    </row>
    <row r="113" spans="1:7" ht="12.15" customHeight="1">
      <c r="A113" s="163"/>
      <c r="B113" s="486" t="s">
        <v>143</v>
      </c>
      <c r="C113" s="487">
        <v>280743000</v>
      </c>
      <c r="D113" s="487">
        <v>262858383</v>
      </c>
      <c r="E113" s="503">
        <f t="shared" si="2"/>
        <v>93.63</v>
      </c>
      <c r="G113" s="93"/>
    </row>
    <row r="114" spans="1:7" ht="12.15" customHeight="1">
      <c r="A114" s="163"/>
      <c r="B114" s="486" t="s">
        <v>142</v>
      </c>
      <c r="C114" s="487">
        <v>4480086000</v>
      </c>
      <c r="D114" s="487">
        <v>3989161838</v>
      </c>
      <c r="E114" s="503">
        <f t="shared" si="2"/>
        <v>89.039999999999992</v>
      </c>
    </row>
    <row r="115" spans="1:7" ht="12.15" customHeight="1">
      <c r="A115" s="163"/>
      <c r="B115" s="486" t="s">
        <v>141</v>
      </c>
      <c r="C115" s="487">
        <v>3130879000</v>
      </c>
      <c r="D115" s="487">
        <v>2923673919</v>
      </c>
      <c r="E115" s="503">
        <f t="shared" si="2"/>
        <v>93.38</v>
      </c>
    </row>
    <row r="116" spans="1:7" ht="12.15" customHeight="1">
      <c r="A116" s="163"/>
      <c r="B116" s="486" t="s">
        <v>140</v>
      </c>
      <c r="C116" s="487">
        <v>382097000</v>
      </c>
      <c r="D116" s="487">
        <v>339858806</v>
      </c>
      <c r="E116" s="514">
        <f t="shared" si="2"/>
        <v>88.949999999999989</v>
      </c>
      <c r="G116" s="93"/>
    </row>
    <row r="117" spans="1:7" ht="12.15" customHeight="1">
      <c r="A117" s="704" t="s">
        <v>139</v>
      </c>
      <c r="B117" s="704"/>
      <c r="C117" s="484">
        <v>3789071000</v>
      </c>
      <c r="D117" s="484">
        <v>3789067621</v>
      </c>
      <c r="E117" s="503">
        <f t="shared" si="2"/>
        <v>100</v>
      </c>
    </row>
    <row r="118" spans="1:7" ht="12.15" customHeight="1">
      <c r="A118" s="163"/>
      <c r="B118" s="486" t="s">
        <v>138</v>
      </c>
      <c r="C118" s="487">
        <v>3789071000</v>
      </c>
      <c r="D118" s="487">
        <v>3789067621</v>
      </c>
      <c r="E118" s="514">
        <f t="shared" si="2"/>
        <v>100</v>
      </c>
    </row>
    <row r="119" spans="1:7" ht="12.15" customHeight="1">
      <c r="A119" s="704" t="s">
        <v>137</v>
      </c>
      <c r="B119" s="704"/>
      <c r="C119" s="484">
        <v>26868525000</v>
      </c>
      <c r="D119" s="484">
        <v>25802492022</v>
      </c>
      <c r="E119" s="503">
        <f t="shared" si="2"/>
        <v>96.03</v>
      </c>
      <c r="G119" s="93"/>
    </row>
    <row r="120" spans="1:7" ht="12.15" customHeight="1">
      <c r="A120" s="163"/>
      <c r="B120" s="486" t="s">
        <v>136</v>
      </c>
      <c r="C120" s="487">
        <v>26868525000</v>
      </c>
      <c r="D120" s="487">
        <v>25802492022</v>
      </c>
      <c r="E120" s="514">
        <f t="shared" si="2"/>
        <v>96.03</v>
      </c>
    </row>
    <row r="121" spans="1:7" ht="12.15" customHeight="1">
      <c r="A121" s="704" t="s">
        <v>135</v>
      </c>
      <c r="B121" s="704"/>
      <c r="C121" s="484">
        <v>400000000</v>
      </c>
      <c r="D121" s="484">
        <v>0</v>
      </c>
      <c r="E121" s="503">
        <f t="shared" si="2"/>
        <v>0</v>
      </c>
    </row>
    <row r="122" spans="1:7" ht="12.15" customHeight="1">
      <c r="A122" s="495"/>
      <c r="B122" s="496" t="s">
        <v>57</v>
      </c>
      <c r="C122" s="507">
        <v>400000000</v>
      </c>
      <c r="D122" s="507">
        <v>0</v>
      </c>
      <c r="E122" s="503">
        <f t="shared" si="2"/>
        <v>0</v>
      </c>
      <c r="G122" s="93"/>
    </row>
    <row r="123" spans="1:7" ht="12.9" customHeight="1">
      <c r="A123" s="25" t="s">
        <v>134</v>
      </c>
      <c r="C123" s="25"/>
      <c r="D123" s="25"/>
      <c r="E123" s="25"/>
    </row>
    <row r="136" spans="1:2" ht="12.9" customHeight="1">
      <c r="A136" s="15"/>
      <c r="B136" s="15"/>
    </row>
    <row r="137" spans="1:2" ht="12.9" customHeight="1">
      <c r="A137" s="15"/>
      <c r="B137" s="15"/>
    </row>
  </sheetData>
  <mergeCells count="38">
    <mergeCell ref="A84:B84"/>
    <mergeCell ref="A92:B92"/>
    <mergeCell ref="A97:B97"/>
    <mergeCell ref="A100:B100"/>
    <mergeCell ref="A121:B121"/>
    <mergeCell ref="A104:B104"/>
    <mergeCell ref="A109:B109"/>
    <mergeCell ref="A117:B117"/>
    <mergeCell ref="A119:B119"/>
    <mergeCell ref="A78:B78"/>
    <mergeCell ref="A82:B82"/>
    <mergeCell ref="A80:B80"/>
    <mergeCell ref="A79:B79"/>
    <mergeCell ref="A56:B56"/>
    <mergeCell ref="A59:B59"/>
    <mergeCell ref="A65:B65"/>
    <mergeCell ref="A71:B71"/>
    <mergeCell ref="A43:B43"/>
    <mergeCell ref="A47:B47"/>
    <mergeCell ref="A51:B51"/>
    <mergeCell ref="A54:B54"/>
    <mergeCell ref="A34:B34"/>
    <mergeCell ref="A36:B36"/>
    <mergeCell ref="A38:B38"/>
    <mergeCell ref="A40:B40"/>
    <mergeCell ref="A32:B32"/>
    <mergeCell ref="A13:B13"/>
    <mergeCell ref="A18:B18"/>
    <mergeCell ref="A20:B20"/>
    <mergeCell ref="A22:B22"/>
    <mergeCell ref="A28:B28"/>
    <mergeCell ref="A30:B30"/>
    <mergeCell ref="A26:B26"/>
    <mergeCell ref="A5:B5"/>
    <mergeCell ref="A9:B9"/>
    <mergeCell ref="A7:B7"/>
    <mergeCell ref="A6:B6"/>
    <mergeCell ref="A24:B24"/>
  </mergeCells>
  <phoneticPr fontId="3"/>
  <printOptions horizontalCentered="1"/>
  <pageMargins left="0.78740157480314965" right="0.78740157480314965" top="0.59055118110236227" bottom="0.19685039370078741" header="0.51181102362204722" footer="0.51181102362204722"/>
  <pageSetup paperSize="9" orientation="portrait" r:id="rId1"/>
  <headerFooter alignWithMargins="0"/>
  <rowBreaks count="1" manualBreakCount="1">
    <brk id="61" max="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F52D-0DDF-4956-B15E-BB9F96570D68}">
  <dimension ref="A1:G82"/>
  <sheetViews>
    <sheetView view="pageBreakPreview" zoomScaleNormal="85" zoomScaleSheetLayoutView="100" workbookViewId="0">
      <selection activeCell="A8" sqref="A8:B8"/>
    </sheetView>
  </sheetViews>
  <sheetFormatPr defaultColWidth="9" defaultRowHeight="12.9" customHeight="1"/>
  <cols>
    <col min="1" max="1" width="3.33203125" style="1" customWidth="1"/>
    <col min="2" max="2" width="19.33203125" style="1" customWidth="1"/>
    <col min="3" max="5" width="21.33203125" style="15" customWidth="1"/>
    <col min="6" max="6" width="9" style="15"/>
    <col min="7" max="7" width="26.21875" style="15" customWidth="1"/>
    <col min="8" max="16384" width="9" style="15"/>
  </cols>
  <sheetData>
    <row r="1" spans="1:7" ht="15" customHeight="1">
      <c r="A1" s="122" t="s">
        <v>426</v>
      </c>
    </row>
    <row r="2" spans="1:7" ht="5.0999999999999996" customHeight="1">
      <c r="A2" s="122"/>
    </row>
    <row r="3" spans="1:7" ht="15" customHeight="1" thickBot="1">
      <c r="A3" s="49" t="s">
        <v>223</v>
      </c>
      <c r="B3" s="15"/>
      <c r="C3" s="94"/>
      <c r="D3" s="94"/>
      <c r="E3" s="94"/>
    </row>
    <row r="4" spans="1:7" ht="15" customHeight="1" thickTop="1">
      <c r="A4" s="515"/>
      <c r="B4" s="468" t="s">
        <v>89</v>
      </c>
      <c r="C4" s="516" t="s">
        <v>178</v>
      </c>
      <c r="D4" s="516" t="s">
        <v>177</v>
      </c>
      <c r="E4" s="517" t="s">
        <v>176</v>
      </c>
    </row>
    <row r="5" spans="1:7" ht="15" customHeight="1">
      <c r="A5" s="471" t="s">
        <v>175</v>
      </c>
      <c r="B5" s="472"/>
      <c r="C5" s="518" t="s">
        <v>174</v>
      </c>
      <c r="D5" s="518" t="s">
        <v>174</v>
      </c>
      <c r="E5" s="519" t="s">
        <v>420</v>
      </c>
    </row>
    <row r="6" spans="1:7" s="22" customFormat="1" ht="15.9" customHeight="1">
      <c r="A6" s="711" t="s">
        <v>352</v>
      </c>
      <c r="B6" s="711"/>
      <c r="C6" s="520">
        <v>71969257000</v>
      </c>
      <c r="D6" s="520">
        <v>70939932737</v>
      </c>
      <c r="E6" s="521">
        <v>98.57</v>
      </c>
    </row>
    <row r="7" spans="1:7" s="22" customFormat="1" ht="15.9" customHeight="1">
      <c r="A7" s="713">
        <v>4</v>
      </c>
      <c r="B7" s="713"/>
      <c r="C7" s="522">
        <v>72132696000</v>
      </c>
      <c r="D7" s="522">
        <v>70380230421</v>
      </c>
      <c r="E7" s="521">
        <v>97.57</v>
      </c>
      <c r="G7" s="101"/>
    </row>
    <row r="8" spans="1:7" s="22" customFormat="1" ht="15.9" customHeight="1">
      <c r="A8" s="712">
        <v>5</v>
      </c>
      <c r="B8" s="712"/>
      <c r="C8" s="523">
        <f>C10+C12+C14+C16+C18+C20+C22+C24</f>
        <v>72297368000</v>
      </c>
      <c r="D8" s="523">
        <f>D10+D12+D14+D16+D18+D20+D22+D24</f>
        <v>70267338578</v>
      </c>
      <c r="E8" s="524">
        <f>ROUND(D8/C8,4)*100</f>
        <v>97.19</v>
      </c>
    </row>
    <row r="9" spans="1:7" s="22" customFormat="1" ht="15.9" customHeight="1">
      <c r="A9" s="197" t="s">
        <v>222</v>
      </c>
      <c r="B9" s="35"/>
      <c r="C9" s="525"/>
      <c r="D9" s="525"/>
      <c r="E9" s="521"/>
    </row>
    <row r="10" spans="1:7" ht="15.9" customHeight="1">
      <c r="A10" s="710" t="s">
        <v>64</v>
      </c>
      <c r="B10" s="710"/>
      <c r="C10" s="526">
        <v>14110531000</v>
      </c>
      <c r="D10" s="526">
        <v>14825469770</v>
      </c>
      <c r="E10" s="527">
        <f t="shared" ref="E10:E27" si="0">ROUND(D10/C10,4)*100</f>
        <v>105.07</v>
      </c>
    </row>
    <row r="11" spans="1:7" ht="15.9" customHeight="1">
      <c r="A11" s="528"/>
      <c r="B11" s="95" t="s">
        <v>64</v>
      </c>
      <c r="C11" s="529">
        <v>14110531000</v>
      </c>
      <c r="D11" s="529">
        <v>14825469770</v>
      </c>
      <c r="E11" s="530">
        <f t="shared" si="0"/>
        <v>105.07</v>
      </c>
    </row>
    <row r="12" spans="1:7" ht="15.9" customHeight="1">
      <c r="A12" s="710" t="s">
        <v>242</v>
      </c>
      <c r="B12" s="710"/>
      <c r="C12" s="526">
        <v>4000</v>
      </c>
      <c r="D12" s="526">
        <v>0</v>
      </c>
      <c r="E12" s="527">
        <f t="shared" si="0"/>
        <v>0</v>
      </c>
    </row>
    <row r="13" spans="1:7" ht="15.9" customHeight="1">
      <c r="A13" s="528"/>
      <c r="B13" s="95" t="s">
        <v>242</v>
      </c>
      <c r="C13" s="529">
        <v>4000</v>
      </c>
      <c r="D13" s="529">
        <v>0</v>
      </c>
      <c r="E13" s="530">
        <f t="shared" si="0"/>
        <v>0</v>
      </c>
    </row>
    <row r="14" spans="1:7" ht="15.9" customHeight="1">
      <c r="A14" s="710" t="s">
        <v>43</v>
      </c>
      <c r="B14" s="710"/>
      <c r="C14" s="526">
        <v>150000</v>
      </c>
      <c r="D14" s="526">
        <v>148800</v>
      </c>
      <c r="E14" s="527">
        <f t="shared" si="0"/>
        <v>99.2</v>
      </c>
    </row>
    <row r="15" spans="1:7" ht="15.9" customHeight="1">
      <c r="A15" s="528"/>
      <c r="B15" s="95" t="s">
        <v>203</v>
      </c>
      <c r="C15" s="529">
        <v>150000</v>
      </c>
      <c r="D15" s="529">
        <v>148800</v>
      </c>
      <c r="E15" s="530">
        <f t="shared" si="0"/>
        <v>99.2</v>
      </c>
    </row>
    <row r="16" spans="1:7" ht="15.9" customHeight="1">
      <c r="A16" s="710" t="s">
        <v>241</v>
      </c>
      <c r="B16" s="710"/>
      <c r="C16" s="526">
        <v>3499000</v>
      </c>
      <c r="D16" s="526">
        <v>3593000</v>
      </c>
      <c r="E16" s="527">
        <f t="shared" si="0"/>
        <v>102.69</v>
      </c>
    </row>
    <row r="17" spans="1:5" ht="15.9" customHeight="1">
      <c r="A17" s="528"/>
      <c r="B17" s="95" t="s">
        <v>200</v>
      </c>
      <c r="C17" s="529">
        <v>3499000</v>
      </c>
      <c r="D17" s="529">
        <v>3593000</v>
      </c>
      <c r="E17" s="530">
        <f t="shared" si="0"/>
        <v>102.69</v>
      </c>
    </row>
    <row r="18" spans="1:5" ht="15.9" customHeight="1">
      <c r="A18" s="710" t="s">
        <v>240</v>
      </c>
      <c r="B18" s="710"/>
      <c r="C18" s="526">
        <v>47084275000</v>
      </c>
      <c r="D18" s="526">
        <v>45404746645</v>
      </c>
      <c r="E18" s="527">
        <f t="shared" si="0"/>
        <v>96.43</v>
      </c>
    </row>
    <row r="19" spans="1:5" ht="15.9" customHeight="1">
      <c r="A19" s="528"/>
      <c r="B19" s="95" t="s">
        <v>197</v>
      </c>
      <c r="C19" s="529">
        <v>47084275000</v>
      </c>
      <c r="D19" s="529">
        <v>45404746645</v>
      </c>
      <c r="E19" s="530">
        <f t="shared" si="0"/>
        <v>96.43</v>
      </c>
    </row>
    <row r="20" spans="1:5" ht="15.9" customHeight="1">
      <c r="A20" s="710" t="s">
        <v>239</v>
      </c>
      <c r="B20" s="710"/>
      <c r="C20" s="526">
        <v>10363508000</v>
      </c>
      <c r="D20" s="526">
        <v>9295373650</v>
      </c>
      <c r="E20" s="527">
        <f t="shared" si="0"/>
        <v>89.69</v>
      </c>
    </row>
    <row r="21" spans="1:5" ht="15.9" customHeight="1">
      <c r="A21" s="528"/>
      <c r="B21" s="95" t="s">
        <v>238</v>
      </c>
      <c r="C21" s="529">
        <v>10363508000</v>
      </c>
      <c r="D21" s="529">
        <v>9295373650</v>
      </c>
      <c r="E21" s="530">
        <f t="shared" si="0"/>
        <v>89.69</v>
      </c>
    </row>
    <row r="22" spans="1:5" ht="15.9" customHeight="1">
      <c r="A22" s="710" t="s">
        <v>185</v>
      </c>
      <c r="B22" s="710"/>
      <c r="C22" s="526">
        <v>664893000</v>
      </c>
      <c r="D22" s="526">
        <v>664893627</v>
      </c>
      <c r="E22" s="527">
        <f t="shared" si="0"/>
        <v>100</v>
      </c>
    </row>
    <row r="23" spans="1:5" ht="15.9" customHeight="1">
      <c r="A23" s="528"/>
      <c r="B23" s="95" t="s">
        <v>185</v>
      </c>
      <c r="C23" s="529">
        <v>664893000</v>
      </c>
      <c r="D23" s="529">
        <v>664893627</v>
      </c>
      <c r="E23" s="530">
        <f t="shared" si="0"/>
        <v>100</v>
      </c>
    </row>
    <row r="24" spans="1:5" ht="15.9" customHeight="1">
      <c r="A24" s="710" t="s">
        <v>237</v>
      </c>
      <c r="B24" s="710"/>
      <c r="C24" s="526">
        <v>70508000</v>
      </c>
      <c r="D24" s="526">
        <v>73113086</v>
      </c>
      <c r="E24" s="527">
        <f t="shared" si="0"/>
        <v>103.69</v>
      </c>
    </row>
    <row r="25" spans="1:5" ht="15.9" customHeight="1">
      <c r="A25" s="528"/>
      <c r="B25" s="92" t="s">
        <v>184</v>
      </c>
      <c r="C25" s="529">
        <v>4000</v>
      </c>
      <c r="D25" s="529">
        <v>0</v>
      </c>
      <c r="E25" s="530">
        <f t="shared" si="0"/>
        <v>0</v>
      </c>
    </row>
    <row r="26" spans="1:5" ht="15.9" customHeight="1">
      <c r="A26" s="528"/>
      <c r="B26" s="95" t="s">
        <v>236</v>
      </c>
      <c r="C26" s="529">
        <v>1000</v>
      </c>
      <c r="D26" s="529">
        <v>0</v>
      </c>
      <c r="E26" s="530">
        <f t="shared" si="0"/>
        <v>0</v>
      </c>
    </row>
    <row r="27" spans="1:5" ht="15.9" customHeight="1">
      <c r="A27" s="531"/>
      <c r="B27" s="506" t="s">
        <v>180</v>
      </c>
      <c r="C27" s="532">
        <v>70503000</v>
      </c>
      <c r="D27" s="532">
        <v>73113086</v>
      </c>
      <c r="E27" s="533">
        <f t="shared" si="0"/>
        <v>103.69999999999999</v>
      </c>
    </row>
    <row r="28" spans="1:5" ht="17.100000000000001" customHeight="1">
      <c r="B28" s="95"/>
    </row>
    <row r="29" spans="1:5" ht="17.100000000000001" customHeight="1" thickBot="1">
      <c r="A29" s="49" t="s">
        <v>179</v>
      </c>
      <c r="C29" s="103"/>
      <c r="D29" s="103"/>
      <c r="E29" s="103"/>
    </row>
    <row r="30" spans="1:5" ht="15" customHeight="1" thickTop="1">
      <c r="A30" s="534"/>
      <c r="B30" s="535" t="s">
        <v>89</v>
      </c>
      <c r="C30" s="516" t="s">
        <v>178</v>
      </c>
      <c r="D30" s="516" t="s">
        <v>177</v>
      </c>
      <c r="E30" s="517" t="s">
        <v>176</v>
      </c>
    </row>
    <row r="31" spans="1:5" ht="15" customHeight="1">
      <c r="A31" s="536" t="s">
        <v>175</v>
      </c>
      <c r="B31" s="537"/>
      <c r="C31" s="518" t="s">
        <v>174</v>
      </c>
      <c r="D31" s="518" t="s">
        <v>174</v>
      </c>
      <c r="E31" s="519" t="s">
        <v>420</v>
      </c>
    </row>
    <row r="32" spans="1:5" ht="15.9" customHeight="1">
      <c r="A32" s="711" t="s">
        <v>352</v>
      </c>
      <c r="B32" s="711"/>
      <c r="C32" s="520">
        <v>71969257000</v>
      </c>
      <c r="D32" s="520">
        <v>70032980407</v>
      </c>
      <c r="E32" s="521">
        <v>97.31</v>
      </c>
    </row>
    <row r="33" spans="1:5" ht="15.9" customHeight="1">
      <c r="A33" s="713">
        <v>4</v>
      </c>
      <c r="B33" s="713"/>
      <c r="C33" s="522">
        <v>72132696000</v>
      </c>
      <c r="D33" s="538">
        <v>69715336794</v>
      </c>
      <c r="E33" s="521">
        <v>96.65</v>
      </c>
    </row>
    <row r="34" spans="1:5" ht="15.9" customHeight="1">
      <c r="A34" s="712">
        <v>5</v>
      </c>
      <c r="B34" s="712"/>
      <c r="C34" s="523">
        <f>C36+C39+C47+C51+C53+C56+C59</f>
        <v>72297368000</v>
      </c>
      <c r="D34" s="523">
        <f>D36+D39+D47+D51+D53+D56+D59</f>
        <v>69852224813</v>
      </c>
      <c r="E34" s="524">
        <f>ROUND(D34/C34,4)*100</f>
        <v>96.61999999999999</v>
      </c>
    </row>
    <row r="35" spans="1:5" ht="15.9" customHeight="1">
      <c r="A35" s="539"/>
      <c r="B35" s="540"/>
      <c r="C35" s="541"/>
      <c r="D35" s="542"/>
      <c r="E35" s="513"/>
    </row>
    <row r="36" spans="1:5" ht="15.9" customHeight="1">
      <c r="A36" s="707" t="s">
        <v>62</v>
      </c>
      <c r="B36" s="707"/>
      <c r="C36" s="543">
        <v>1630044000</v>
      </c>
      <c r="D36" s="543">
        <v>1524004816</v>
      </c>
      <c r="E36" s="530">
        <f t="shared" ref="E36:E60" si="1">ROUND(D36/C36,4)*100</f>
        <v>93.49</v>
      </c>
    </row>
    <row r="37" spans="1:5" ht="15.9" customHeight="1">
      <c r="A37" s="528"/>
      <c r="B37" s="544" t="s">
        <v>170</v>
      </c>
      <c r="C37" s="545">
        <v>1386323000</v>
      </c>
      <c r="D37" s="545">
        <v>1299756195</v>
      </c>
      <c r="E37" s="530">
        <f t="shared" si="1"/>
        <v>93.76</v>
      </c>
    </row>
    <row r="38" spans="1:5" ht="15.9" customHeight="1">
      <c r="A38" s="528"/>
      <c r="B38" s="544" t="s">
        <v>235</v>
      </c>
      <c r="C38" s="545">
        <v>243721000</v>
      </c>
      <c r="D38" s="545">
        <v>224248621</v>
      </c>
      <c r="E38" s="546">
        <f t="shared" si="1"/>
        <v>92.01</v>
      </c>
    </row>
    <row r="39" spans="1:5" ht="15.9" customHeight="1">
      <c r="A39" s="707" t="s">
        <v>234</v>
      </c>
      <c r="B39" s="707"/>
      <c r="C39" s="526">
        <v>46813752000</v>
      </c>
      <c r="D39" s="526">
        <v>44799901945</v>
      </c>
      <c r="E39" s="530">
        <f t="shared" si="1"/>
        <v>95.7</v>
      </c>
    </row>
    <row r="40" spans="1:5" ht="15.9" customHeight="1">
      <c r="A40" s="528"/>
      <c r="B40" s="544" t="s">
        <v>233</v>
      </c>
      <c r="C40" s="545">
        <v>40305842000</v>
      </c>
      <c r="D40" s="545">
        <v>38592808973</v>
      </c>
      <c r="E40" s="530">
        <f t="shared" si="1"/>
        <v>95.75</v>
      </c>
    </row>
    <row r="41" spans="1:5" ht="15.9" customHeight="1">
      <c r="A41" s="528"/>
      <c r="B41" s="544" t="s">
        <v>232</v>
      </c>
      <c r="C41" s="545">
        <v>6158289000</v>
      </c>
      <c r="D41" s="545">
        <v>5889422752</v>
      </c>
      <c r="E41" s="530">
        <f t="shared" si="1"/>
        <v>95.63000000000001</v>
      </c>
    </row>
    <row r="42" spans="1:5" ht="15.9" customHeight="1">
      <c r="A42" s="528"/>
      <c r="B42" s="544" t="s">
        <v>231</v>
      </c>
      <c r="C42" s="545">
        <v>2000</v>
      </c>
      <c r="D42" s="545">
        <v>0</v>
      </c>
      <c r="E42" s="530">
        <f t="shared" si="1"/>
        <v>0</v>
      </c>
    </row>
    <row r="43" spans="1:5" ht="15.9" customHeight="1">
      <c r="A43" s="528"/>
      <c r="B43" s="544" t="s">
        <v>230</v>
      </c>
      <c r="C43" s="545">
        <v>210075000</v>
      </c>
      <c r="D43" s="545">
        <v>187365060</v>
      </c>
      <c r="E43" s="530">
        <f t="shared" si="1"/>
        <v>89.19</v>
      </c>
    </row>
    <row r="44" spans="1:5" ht="15.9" customHeight="1">
      <c r="A44" s="528"/>
      <c r="B44" s="544" t="s">
        <v>229</v>
      </c>
      <c r="C44" s="545">
        <v>64740000</v>
      </c>
      <c r="D44" s="545">
        <v>60060000</v>
      </c>
      <c r="E44" s="530">
        <f t="shared" si="1"/>
        <v>92.77</v>
      </c>
    </row>
    <row r="45" spans="1:5" ht="15.9" customHeight="1">
      <c r="A45" s="528"/>
      <c r="B45" s="544" t="s">
        <v>228</v>
      </c>
      <c r="C45" s="545">
        <v>71418000</v>
      </c>
      <c r="D45" s="545">
        <v>68649179</v>
      </c>
      <c r="E45" s="530">
        <f t="shared" si="1"/>
        <v>96.12</v>
      </c>
    </row>
    <row r="46" spans="1:5" ht="15.9" customHeight="1">
      <c r="A46" s="528"/>
      <c r="B46" s="544" t="s">
        <v>427</v>
      </c>
      <c r="C46" s="545">
        <v>3386000</v>
      </c>
      <c r="D46" s="545">
        <v>1595981</v>
      </c>
      <c r="E46" s="546">
        <f t="shared" si="1"/>
        <v>47.13</v>
      </c>
    </row>
    <row r="47" spans="1:5" ht="15.9" customHeight="1">
      <c r="A47" s="707" t="s">
        <v>321</v>
      </c>
      <c r="B47" s="707"/>
      <c r="C47" s="526">
        <v>22297360000</v>
      </c>
      <c r="D47" s="526">
        <v>22297358484</v>
      </c>
      <c r="E47" s="530">
        <f t="shared" si="1"/>
        <v>100</v>
      </c>
    </row>
    <row r="48" spans="1:5" ht="15.9" customHeight="1">
      <c r="A48" s="528"/>
      <c r="B48" s="544" t="s">
        <v>428</v>
      </c>
      <c r="C48" s="545">
        <v>15633118000</v>
      </c>
      <c r="D48" s="545">
        <v>15633117491</v>
      </c>
      <c r="E48" s="530">
        <f t="shared" si="1"/>
        <v>100</v>
      </c>
    </row>
    <row r="49" spans="1:5" ht="15.9" customHeight="1">
      <c r="A49" s="528"/>
      <c r="B49" s="544" t="s">
        <v>429</v>
      </c>
      <c r="C49" s="545">
        <v>4716666000</v>
      </c>
      <c r="D49" s="545">
        <v>4716665342</v>
      </c>
      <c r="E49" s="530">
        <f t="shared" si="1"/>
        <v>100</v>
      </c>
    </row>
    <row r="50" spans="1:5" ht="15.9" customHeight="1">
      <c r="A50" s="528"/>
      <c r="B50" s="544" t="s">
        <v>430</v>
      </c>
      <c r="C50" s="545">
        <v>1947576000</v>
      </c>
      <c r="D50" s="545">
        <v>1947575651</v>
      </c>
      <c r="E50" s="546">
        <f t="shared" si="1"/>
        <v>100</v>
      </c>
    </row>
    <row r="51" spans="1:5" ht="15.9" customHeight="1">
      <c r="A51" s="707" t="s">
        <v>60</v>
      </c>
      <c r="B51" s="707"/>
      <c r="C51" s="526">
        <v>8000</v>
      </c>
      <c r="D51" s="526">
        <v>1404</v>
      </c>
      <c r="E51" s="530">
        <f t="shared" si="1"/>
        <v>17.549999999999997</v>
      </c>
    </row>
    <row r="52" spans="1:5" ht="15.9" customHeight="1">
      <c r="A52" s="528"/>
      <c r="B52" s="544" t="s">
        <v>60</v>
      </c>
      <c r="C52" s="545">
        <v>8000</v>
      </c>
      <c r="D52" s="545">
        <v>1404</v>
      </c>
      <c r="E52" s="546">
        <f t="shared" si="1"/>
        <v>17.549999999999997</v>
      </c>
    </row>
    <row r="53" spans="1:5" ht="15.9" customHeight="1">
      <c r="A53" s="707" t="s">
        <v>227</v>
      </c>
      <c r="B53" s="707"/>
      <c r="C53" s="526">
        <v>583699000</v>
      </c>
      <c r="D53" s="526">
        <v>475253600</v>
      </c>
      <c r="E53" s="530">
        <f t="shared" si="1"/>
        <v>81.42</v>
      </c>
    </row>
    <row r="54" spans="1:5" ht="15.9" customHeight="1">
      <c r="A54" s="528"/>
      <c r="B54" s="544" t="s">
        <v>227</v>
      </c>
      <c r="C54" s="545">
        <v>9049000</v>
      </c>
      <c r="D54" s="545">
        <v>9048600</v>
      </c>
      <c r="E54" s="530">
        <f t="shared" si="1"/>
        <v>100</v>
      </c>
    </row>
    <row r="55" spans="1:5" ht="15.9" customHeight="1">
      <c r="A55" s="528"/>
      <c r="B55" s="544" t="s">
        <v>226</v>
      </c>
      <c r="C55" s="545">
        <v>574650000</v>
      </c>
      <c r="D55" s="545">
        <v>466205000</v>
      </c>
      <c r="E55" s="546">
        <f t="shared" si="1"/>
        <v>81.13</v>
      </c>
    </row>
    <row r="56" spans="1:5" ht="15.9" customHeight="1">
      <c r="A56" s="707" t="s">
        <v>58</v>
      </c>
      <c r="B56" s="707"/>
      <c r="C56" s="526">
        <v>772505000</v>
      </c>
      <c r="D56" s="526">
        <v>755704564</v>
      </c>
      <c r="E56" s="530">
        <f t="shared" si="1"/>
        <v>97.83</v>
      </c>
    </row>
    <row r="57" spans="1:5" ht="15.9" customHeight="1">
      <c r="A57" s="528"/>
      <c r="B57" s="544" t="s">
        <v>225</v>
      </c>
      <c r="C57" s="545">
        <v>772504000</v>
      </c>
      <c r="D57" s="545">
        <v>755704564</v>
      </c>
      <c r="E57" s="530">
        <f t="shared" si="1"/>
        <v>97.83</v>
      </c>
    </row>
    <row r="58" spans="1:5" ht="15.9" customHeight="1">
      <c r="A58" s="528"/>
      <c r="B58" s="544" t="s">
        <v>224</v>
      </c>
      <c r="C58" s="545">
        <v>1000</v>
      </c>
      <c r="D58" s="545">
        <v>0</v>
      </c>
      <c r="E58" s="546">
        <f t="shared" si="1"/>
        <v>0</v>
      </c>
    </row>
    <row r="59" spans="1:5" ht="15.9" customHeight="1">
      <c r="A59" s="707" t="s">
        <v>57</v>
      </c>
      <c r="B59" s="707"/>
      <c r="C59" s="526">
        <v>200000000</v>
      </c>
      <c r="D59" s="543">
        <v>0</v>
      </c>
      <c r="E59" s="530">
        <f t="shared" si="1"/>
        <v>0</v>
      </c>
    </row>
    <row r="60" spans="1:5" ht="15.9" customHeight="1">
      <c r="A60" s="531"/>
      <c r="B60" s="506" t="s">
        <v>57</v>
      </c>
      <c r="C60" s="547">
        <v>200000000</v>
      </c>
      <c r="D60" s="547">
        <v>0</v>
      </c>
      <c r="E60" s="530">
        <f t="shared" si="1"/>
        <v>0</v>
      </c>
    </row>
    <row r="61" spans="1:5" s="25" customFormat="1" ht="12.9" customHeight="1">
      <c r="A61" s="25" t="s">
        <v>431</v>
      </c>
      <c r="B61" s="1"/>
      <c r="E61" s="229"/>
    </row>
    <row r="66" spans="1:4" ht="12.9" customHeight="1">
      <c r="A66" s="15"/>
      <c r="B66" s="15"/>
    </row>
    <row r="67" spans="1:4" ht="12.9" customHeight="1">
      <c r="A67" s="15"/>
      <c r="B67" s="15"/>
    </row>
    <row r="68" spans="1:4" ht="12.9" customHeight="1">
      <c r="A68" s="15"/>
      <c r="B68" s="15"/>
    </row>
    <row r="69" spans="1:4" ht="12.9" customHeight="1">
      <c r="A69" s="15"/>
      <c r="B69" s="15"/>
    </row>
    <row r="70" spans="1:4" ht="12.9" customHeight="1">
      <c r="A70" s="15"/>
      <c r="B70" s="15"/>
    </row>
    <row r="71" spans="1:4" ht="12.9" customHeight="1">
      <c r="A71" s="15"/>
      <c r="B71" s="15"/>
      <c r="D71" s="15">
        <v>0</v>
      </c>
    </row>
    <row r="72" spans="1:4" ht="12.9" customHeight="1">
      <c r="A72" s="15"/>
      <c r="B72" s="15"/>
    </row>
    <row r="73" spans="1:4" ht="12.9" customHeight="1">
      <c r="A73" s="15"/>
      <c r="B73" s="15"/>
    </row>
    <row r="74" spans="1:4" ht="12.9" customHeight="1">
      <c r="A74" s="75"/>
      <c r="B74" s="75"/>
      <c r="D74" s="15">
        <v>0</v>
      </c>
    </row>
    <row r="75" spans="1:4" ht="12.9" customHeight="1">
      <c r="A75" s="15"/>
      <c r="B75" s="15"/>
    </row>
    <row r="76" spans="1:4" ht="12.9" customHeight="1">
      <c r="A76" s="15"/>
      <c r="B76" s="15"/>
    </row>
    <row r="77" spans="1:4" ht="12.9" customHeight="1">
      <c r="A77" s="15"/>
      <c r="B77" s="15"/>
    </row>
    <row r="78" spans="1:4" ht="12.9" customHeight="1">
      <c r="A78" s="15"/>
      <c r="B78" s="15"/>
    </row>
    <row r="79" spans="1:4" ht="12.9" customHeight="1">
      <c r="A79" s="15"/>
      <c r="B79" s="15"/>
    </row>
    <row r="80" spans="1:4" ht="12.9" customHeight="1">
      <c r="A80" s="15"/>
      <c r="B80" s="15"/>
    </row>
    <row r="81" spans="1:2" ht="12.9" customHeight="1">
      <c r="A81" s="15"/>
      <c r="B81" s="15"/>
    </row>
    <row r="82" spans="1:2" ht="12.9" customHeight="1">
      <c r="A82" s="15"/>
      <c r="B82" s="15"/>
    </row>
  </sheetData>
  <mergeCells count="21">
    <mergeCell ref="A14:B14"/>
    <mergeCell ref="A6:B6"/>
    <mergeCell ref="A10:B10"/>
    <mergeCell ref="A8:B8"/>
    <mergeCell ref="A7:B7"/>
    <mergeCell ref="A12:B12"/>
    <mergeCell ref="A59:B59"/>
    <mergeCell ref="A32:B32"/>
    <mergeCell ref="A51:B51"/>
    <mergeCell ref="A53:B53"/>
    <mergeCell ref="A56:B56"/>
    <mergeCell ref="A47:B47"/>
    <mergeCell ref="A34:B34"/>
    <mergeCell ref="A36:B36"/>
    <mergeCell ref="A39:B39"/>
    <mergeCell ref="A33:B33"/>
    <mergeCell ref="A22:B22"/>
    <mergeCell ref="A16:B16"/>
    <mergeCell ref="A24:B24"/>
    <mergeCell ref="A20:B20"/>
    <mergeCell ref="A18:B18"/>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view="pageBreakPreview" zoomScale="115" zoomScaleNormal="115" zoomScaleSheetLayoutView="115" workbookViewId="0"/>
  </sheetViews>
  <sheetFormatPr defaultColWidth="9" defaultRowHeight="13.2"/>
  <cols>
    <col min="1" max="1" width="7.21875" style="1" customWidth="1"/>
    <col min="2" max="2" width="14.109375" style="1" customWidth="1"/>
    <col min="3" max="3" width="7.109375" style="1" customWidth="1"/>
    <col min="4" max="4" width="12.6640625" style="1" customWidth="1"/>
    <col min="5" max="5" width="7.109375" style="1" customWidth="1"/>
    <col min="6" max="6" width="12.6640625" style="1" customWidth="1"/>
    <col min="7" max="7" width="7.109375" style="1" customWidth="1"/>
    <col min="8" max="8" width="12.6640625" style="1" customWidth="1"/>
    <col min="9" max="9" width="7.109375" style="1" customWidth="1"/>
    <col min="10" max="10" width="13.88671875" style="1" bestFit="1" customWidth="1"/>
    <col min="11" max="11" width="6.21875" style="1" customWidth="1"/>
    <col min="12" max="16384" width="9" style="1"/>
  </cols>
  <sheetData>
    <row r="1" spans="1:11" ht="15" customHeight="1">
      <c r="A1" s="122" t="s">
        <v>307</v>
      </c>
      <c r="B1" s="23"/>
    </row>
    <row r="2" spans="1:11" ht="9.9" customHeight="1" thickBot="1">
      <c r="A2" s="23"/>
      <c r="B2" s="23"/>
    </row>
    <row r="3" spans="1:11" s="31" customFormat="1" ht="16.5" customHeight="1" thickTop="1">
      <c r="A3" s="164" t="s">
        <v>122</v>
      </c>
      <c r="B3" s="658" t="s">
        <v>308</v>
      </c>
      <c r="C3" s="658"/>
      <c r="D3" s="658" t="s">
        <v>309</v>
      </c>
      <c r="E3" s="658"/>
      <c r="F3" s="658" t="s">
        <v>20</v>
      </c>
      <c r="G3" s="658"/>
      <c r="H3" s="658" t="s">
        <v>310</v>
      </c>
      <c r="I3" s="658"/>
    </row>
    <row r="4" spans="1:11" s="31" customFormat="1" ht="16.5" customHeight="1">
      <c r="A4" s="165" t="s">
        <v>19</v>
      </c>
      <c r="B4" s="166"/>
      <c r="C4" s="167" t="s">
        <v>18</v>
      </c>
      <c r="D4" s="168"/>
      <c r="E4" s="167" t="s">
        <v>18</v>
      </c>
      <c r="F4" s="168"/>
      <c r="G4" s="167" t="s">
        <v>18</v>
      </c>
      <c r="H4" s="169"/>
      <c r="I4" s="167" t="s">
        <v>18</v>
      </c>
    </row>
    <row r="5" spans="1:11" s="30" customFormat="1" ht="18" customHeight="1">
      <c r="A5" s="170" t="s">
        <v>311</v>
      </c>
      <c r="B5" s="171">
        <v>339446155</v>
      </c>
      <c r="C5" s="172">
        <v>100</v>
      </c>
      <c r="D5" s="173">
        <v>72132696</v>
      </c>
      <c r="E5" s="172">
        <v>100</v>
      </c>
      <c r="F5" s="173">
        <v>67890308</v>
      </c>
      <c r="G5" s="172">
        <v>100</v>
      </c>
      <c r="H5" s="171">
        <v>17597610</v>
      </c>
      <c r="I5" s="172">
        <v>100</v>
      </c>
    </row>
    <row r="6" spans="1:11" s="30" customFormat="1" ht="18" customHeight="1">
      <c r="A6" s="174">
        <v>5</v>
      </c>
      <c r="B6" s="171">
        <v>335181440</v>
      </c>
      <c r="C6" s="172">
        <v>98.7</v>
      </c>
      <c r="D6" s="173">
        <v>72297368</v>
      </c>
      <c r="E6" s="172">
        <f>D6/D5*100</f>
        <v>100.22829037195559</v>
      </c>
      <c r="F6" s="173">
        <v>69025221</v>
      </c>
      <c r="G6" s="172">
        <f>F6/F5*100</f>
        <v>101.67168633260584</v>
      </c>
      <c r="H6" s="171">
        <v>17688093</v>
      </c>
      <c r="I6" s="172">
        <f>H6/H5*100</f>
        <v>100.51417777755047</v>
      </c>
    </row>
    <row r="7" spans="1:11" s="28" customFormat="1" ht="18" customHeight="1">
      <c r="A7" s="175">
        <v>6</v>
      </c>
      <c r="B7" s="176">
        <v>334617754</v>
      </c>
      <c r="C7" s="177">
        <f>B7/B5*100</f>
        <v>98.577564974922154</v>
      </c>
      <c r="D7" s="178">
        <v>72808713</v>
      </c>
      <c r="E7" s="177">
        <f>D7/D5*100</f>
        <v>100.93718526755191</v>
      </c>
      <c r="F7" s="178">
        <v>68260129</v>
      </c>
      <c r="G7" s="177">
        <f>F7/F5*100</f>
        <v>100.54473313039027</v>
      </c>
      <c r="H7" s="176">
        <v>18890245</v>
      </c>
      <c r="I7" s="177">
        <f>H7/H5*100</f>
        <v>107.34551453293942</v>
      </c>
      <c r="J7" s="29"/>
    </row>
    <row r="8" spans="1:11" s="25" customFormat="1" ht="12" customHeight="1">
      <c r="A8" s="25" t="s">
        <v>312</v>
      </c>
      <c r="B8" s="16"/>
      <c r="D8" s="16"/>
      <c r="F8" s="16"/>
      <c r="I8" s="16" t="s">
        <v>313</v>
      </c>
      <c r="K8" s="16"/>
    </row>
    <row r="9" spans="1:11" s="25" customFormat="1" ht="12" customHeight="1">
      <c r="A9" s="27"/>
      <c r="B9" s="16"/>
      <c r="E9" s="119"/>
      <c r="F9" s="659" t="s">
        <v>314</v>
      </c>
      <c r="G9" s="659"/>
      <c r="H9" s="659"/>
      <c r="I9" s="659"/>
      <c r="K9" s="16"/>
    </row>
    <row r="10" spans="1:11" s="25" customFormat="1" ht="12" customHeight="1">
      <c r="E10" s="119"/>
      <c r="F10" s="659" t="s">
        <v>315</v>
      </c>
      <c r="G10" s="659"/>
      <c r="H10" s="659"/>
      <c r="I10" s="659"/>
      <c r="K10" s="16"/>
    </row>
    <row r="11" spans="1:11" s="25" customFormat="1" ht="12" customHeight="1">
      <c r="E11" s="119"/>
      <c r="F11" s="659"/>
      <c r="G11" s="659"/>
      <c r="H11" s="659"/>
      <c r="I11" s="659"/>
      <c r="J11" s="26"/>
      <c r="K11" s="16"/>
    </row>
    <row r="12" spans="1:11">
      <c r="H12" s="25"/>
    </row>
  </sheetData>
  <mergeCells count="7">
    <mergeCell ref="B3:C3"/>
    <mergeCell ref="D3:E3"/>
    <mergeCell ref="F3:G3"/>
    <mergeCell ref="H3:I3"/>
    <mergeCell ref="F11:I11"/>
    <mergeCell ref="F10:I10"/>
    <mergeCell ref="F9:I9"/>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1D31-115E-43B4-8DEF-3A59B0B50D56}">
  <dimension ref="A1:E75"/>
  <sheetViews>
    <sheetView view="pageBreakPreview" zoomScaleNormal="115" zoomScaleSheetLayoutView="100" workbookViewId="0">
      <selection activeCell="D13" sqref="D13"/>
    </sheetView>
  </sheetViews>
  <sheetFormatPr defaultColWidth="9" defaultRowHeight="12.9" customHeight="1"/>
  <cols>
    <col min="1" max="1" width="3.6640625" style="1" customWidth="1"/>
    <col min="2" max="2" width="27.44140625" style="95" customWidth="1"/>
    <col min="3" max="3" width="20" style="15" customWidth="1"/>
    <col min="4" max="4" width="19.21875" style="15" customWidth="1"/>
    <col min="5" max="5" width="16.77734375" style="15" customWidth="1"/>
    <col min="6" max="16384" width="9" style="15"/>
  </cols>
  <sheetData>
    <row r="1" spans="1:5" ht="15" customHeight="1">
      <c r="A1" s="122" t="s">
        <v>432</v>
      </c>
    </row>
    <row r="2" spans="1:5" ht="5.0999999999999996" customHeight="1">
      <c r="A2" s="122"/>
    </row>
    <row r="3" spans="1:5" ht="15" customHeight="1" thickBot="1">
      <c r="A3" s="49" t="s">
        <v>223</v>
      </c>
      <c r="B3" s="15"/>
      <c r="C3" s="94"/>
      <c r="D3" s="94"/>
      <c r="E3" s="94"/>
    </row>
    <row r="4" spans="1:5" ht="14.1" customHeight="1" thickTop="1">
      <c r="A4" s="467"/>
      <c r="B4" s="468" t="s">
        <v>89</v>
      </c>
      <c r="C4" s="516" t="s">
        <v>178</v>
      </c>
      <c r="D4" s="516" t="s">
        <v>177</v>
      </c>
      <c r="E4" s="517" t="s">
        <v>176</v>
      </c>
    </row>
    <row r="5" spans="1:5" ht="14.1" customHeight="1">
      <c r="A5" s="471" t="s">
        <v>175</v>
      </c>
      <c r="B5" s="472"/>
      <c r="C5" s="518" t="s">
        <v>174</v>
      </c>
      <c r="D5" s="518" t="s">
        <v>174</v>
      </c>
      <c r="E5" s="519" t="s">
        <v>420</v>
      </c>
    </row>
    <row r="6" spans="1:5" s="22" customFormat="1" ht="13.5" customHeight="1">
      <c r="A6" s="711" t="s">
        <v>352</v>
      </c>
      <c r="B6" s="711"/>
      <c r="C6" s="548">
        <v>64662707000</v>
      </c>
      <c r="D6" s="548">
        <v>63244287031</v>
      </c>
      <c r="E6" s="521">
        <v>97.81</v>
      </c>
    </row>
    <row r="7" spans="1:5" s="22" customFormat="1" ht="13.5" customHeight="1">
      <c r="A7" s="713">
        <v>4</v>
      </c>
      <c r="B7" s="713"/>
      <c r="C7" s="549">
        <v>67890308000</v>
      </c>
      <c r="D7" s="549">
        <v>65042090730</v>
      </c>
      <c r="E7" s="521">
        <v>95.8</v>
      </c>
    </row>
    <row r="8" spans="1:5" s="22" customFormat="1" ht="13.5" customHeight="1">
      <c r="A8" s="712">
        <v>5</v>
      </c>
      <c r="B8" s="712"/>
      <c r="C8" s="550">
        <f>C10+C12+C14+C17+C20+C22+C24+C27+C29</f>
        <v>69025221000</v>
      </c>
      <c r="D8" s="550">
        <f>D10+D12+D14+D17+D20+D22+D24+D27+D29</f>
        <v>68218599026</v>
      </c>
      <c r="E8" s="524">
        <f>ROUND(D8/C8,4)*100</f>
        <v>98.83</v>
      </c>
    </row>
    <row r="9" spans="1:5" s="22" customFormat="1" ht="11.1" customHeight="1">
      <c r="A9" s="551" t="s">
        <v>222</v>
      </c>
      <c r="B9" s="486"/>
      <c r="C9" s="481"/>
      <c r="D9" s="481"/>
      <c r="E9" s="476"/>
    </row>
    <row r="10" spans="1:5" s="22" customFormat="1" ht="12.9" customHeight="1">
      <c r="A10" s="704" t="s">
        <v>257</v>
      </c>
      <c r="B10" s="704"/>
      <c r="C10" s="526">
        <v>12060884000</v>
      </c>
      <c r="D10" s="526">
        <v>12128008908</v>
      </c>
      <c r="E10" s="527">
        <f t="shared" ref="E10:E32" si="0">ROUND(D10/C10,4)*100</f>
        <v>100.56</v>
      </c>
    </row>
    <row r="11" spans="1:5" s="22" customFormat="1" ht="12.9" customHeight="1">
      <c r="A11" s="479"/>
      <c r="B11" s="486" t="s">
        <v>257</v>
      </c>
      <c r="C11" s="545">
        <v>12060884000</v>
      </c>
      <c r="D11" s="545">
        <v>12128008908</v>
      </c>
      <c r="E11" s="530">
        <f t="shared" si="0"/>
        <v>100.56</v>
      </c>
    </row>
    <row r="12" spans="1:5" s="22" customFormat="1" ht="12.9" customHeight="1">
      <c r="A12" s="704" t="s">
        <v>43</v>
      </c>
      <c r="B12" s="704"/>
      <c r="C12" s="526">
        <v>1000</v>
      </c>
      <c r="D12" s="526">
        <v>0</v>
      </c>
      <c r="E12" s="527">
        <f t="shared" si="0"/>
        <v>0</v>
      </c>
    </row>
    <row r="13" spans="1:5" s="22" customFormat="1" ht="12.9" customHeight="1">
      <c r="A13" s="479"/>
      <c r="B13" s="486" t="s">
        <v>203</v>
      </c>
      <c r="C13" s="545">
        <v>1000</v>
      </c>
      <c r="D13" s="545">
        <v>0</v>
      </c>
      <c r="E13" s="530">
        <f t="shared" si="0"/>
        <v>0</v>
      </c>
    </row>
    <row r="14" spans="1:5" s="22" customFormat="1" ht="12.9" customHeight="1">
      <c r="A14" s="704" t="s">
        <v>241</v>
      </c>
      <c r="B14" s="704"/>
      <c r="C14" s="526">
        <v>15440199000</v>
      </c>
      <c r="D14" s="526">
        <v>15650541306</v>
      </c>
      <c r="E14" s="527">
        <f t="shared" si="0"/>
        <v>101.36</v>
      </c>
    </row>
    <row r="15" spans="1:5" s="22" customFormat="1" ht="12.9" customHeight="1">
      <c r="A15" s="479"/>
      <c r="B15" s="486" t="s">
        <v>201</v>
      </c>
      <c r="C15" s="545">
        <v>11200238000</v>
      </c>
      <c r="D15" s="545">
        <v>11121353735</v>
      </c>
      <c r="E15" s="530">
        <f t="shared" si="0"/>
        <v>99.3</v>
      </c>
    </row>
    <row r="16" spans="1:5" s="22" customFormat="1" ht="12.9" customHeight="1">
      <c r="A16" s="479"/>
      <c r="B16" s="486" t="s">
        <v>200</v>
      </c>
      <c r="C16" s="545">
        <v>4239961000</v>
      </c>
      <c r="D16" s="545">
        <v>4529187571</v>
      </c>
      <c r="E16" s="530">
        <f t="shared" si="0"/>
        <v>106.82000000000001</v>
      </c>
    </row>
    <row r="17" spans="1:5" s="22" customFormat="1" ht="12.9" customHeight="1">
      <c r="A17" s="704" t="s">
        <v>240</v>
      </c>
      <c r="B17" s="704"/>
      <c r="C17" s="526">
        <v>9497172000</v>
      </c>
      <c r="D17" s="526">
        <v>9099950406</v>
      </c>
      <c r="E17" s="527">
        <f t="shared" si="0"/>
        <v>95.820000000000007</v>
      </c>
    </row>
    <row r="18" spans="1:5" s="22" customFormat="1" ht="12.9" customHeight="1">
      <c r="A18" s="479"/>
      <c r="B18" s="486" t="s">
        <v>197</v>
      </c>
      <c r="C18" s="545">
        <v>9075092000</v>
      </c>
      <c r="D18" s="545">
        <v>8695099671</v>
      </c>
      <c r="E18" s="530">
        <f t="shared" si="0"/>
        <v>95.81</v>
      </c>
    </row>
    <row r="19" spans="1:5" s="22" customFormat="1" ht="12.9" customHeight="1">
      <c r="A19" s="479"/>
      <c r="B19" s="486" t="s">
        <v>196</v>
      </c>
      <c r="C19" s="545">
        <v>422080000</v>
      </c>
      <c r="D19" s="545">
        <v>404850735</v>
      </c>
      <c r="E19" s="530">
        <f t="shared" si="0"/>
        <v>95.92</v>
      </c>
    </row>
    <row r="20" spans="1:5" s="22" customFormat="1" ht="12.9" customHeight="1">
      <c r="A20" s="704" t="s">
        <v>66</v>
      </c>
      <c r="B20" s="704"/>
      <c r="C20" s="526">
        <v>17140584000</v>
      </c>
      <c r="D20" s="526">
        <v>16427998459</v>
      </c>
      <c r="E20" s="527">
        <f t="shared" si="0"/>
        <v>95.84</v>
      </c>
    </row>
    <row r="21" spans="1:5" ht="12.9" customHeight="1">
      <c r="A21" s="479"/>
      <c r="B21" s="486" t="s">
        <v>66</v>
      </c>
      <c r="C21" s="545">
        <v>17140584000</v>
      </c>
      <c r="D21" s="545">
        <v>16427998459</v>
      </c>
      <c r="E21" s="530">
        <f t="shared" si="0"/>
        <v>95.84</v>
      </c>
    </row>
    <row r="22" spans="1:5" ht="12.9" customHeight="1">
      <c r="A22" s="704" t="s">
        <v>256</v>
      </c>
      <c r="B22" s="704"/>
      <c r="C22" s="526">
        <v>3760000</v>
      </c>
      <c r="D22" s="526">
        <v>3755337</v>
      </c>
      <c r="E22" s="527">
        <f t="shared" si="0"/>
        <v>99.88</v>
      </c>
    </row>
    <row r="23" spans="1:5" ht="12.9" customHeight="1">
      <c r="A23" s="479"/>
      <c r="B23" s="486" t="s">
        <v>193</v>
      </c>
      <c r="C23" s="545">
        <v>3760000</v>
      </c>
      <c r="D23" s="545">
        <v>3755337</v>
      </c>
      <c r="E23" s="530">
        <f t="shared" si="0"/>
        <v>99.88</v>
      </c>
    </row>
    <row r="24" spans="1:5" ht="12.9" customHeight="1">
      <c r="A24" s="704" t="s">
        <v>239</v>
      </c>
      <c r="B24" s="704"/>
      <c r="C24" s="526">
        <v>12245734000</v>
      </c>
      <c r="D24" s="526">
        <v>12245734000</v>
      </c>
      <c r="E24" s="527">
        <f t="shared" si="0"/>
        <v>100</v>
      </c>
    </row>
    <row r="25" spans="1:5" ht="12.9" customHeight="1">
      <c r="A25" s="479"/>
      <c r="B25" s="486" t="s">
        <v>255</v>
      </c>
      <c r="C25" s="545">
        <v>10533155000</v>
      </c>
      <c r="D25" s="545">
        <v>10533155000</v>
      </c>
      <c r="E25" s="530">
        <f t="shared" si="0"/>
        <v>100</v>
      </c>
    </row>
    <row r="26" spans="1:5" ht="12.9" customHeight="1">
      <c r="A26" s="479"/>
      <c r="B26" s="486" t="s">
        <v>433</v>
      </c>
      <c r="C26" s="545">
        <v>1712579000</v>
      </c>
      <c r="D26" s="545">
        <v>1712579000</v>
      </c>
      <c r="E26" s="530">
        <f t="shared" si="0"/>
        <v>100</v>
      </c>
    </row>
    <row r="27" spans="1:5" ht="12.9" customHeight="1">
      <c r="A27" s="704" t="s">
        <v>185</v>
      </c>
      <c r="B27" s="704"/>
      <c r="C27" s="526">
        <v>2614190000</v>
      </c>
      <c r="D27" s="526">
        <v>2614189647</v>
      </c>
      <c r="E27" s="527">
        <f t="shared" si="0"/>
        <v>100</v>
      </c>
    </row>
    <row r="28" spans="1:5" ht="12.9" customHeight="1">
      <c r="A28" s="479"/>
      <c r="B28" s="486" t="s">
        <v>185</v>
      </c>
      <c r="C28" s="545">
        <v>2614190000</v>
      </c>
      <c r="D28" s="545">
        <v>2614189647</v>
      </c>
      <c r="E28" s="546">
        <f t="shared" si="0"/>
        <v>100</v>
      </c>
    </row>
    <row r="29" spans="1:5" ht="12.9" customHeight="1">
      <c r="A29" s="704" t="s">
        <v>237</v>
      </c>
      <c r="B29" s="704"/>
      <c r="C29" s="526">
        <v>22697000</v>
      </c>
      <c r="D29" s="526">
        <v>48420963</v>
      </c>
      <c r="E29" s="530">
        <f t="shared" si="0"/>
        <v>213.34</v>
      </c>
    </row>
    <row r="30" spans="1:5" ht="12.9" customHeight="1">
      <c r="A30" s="479"/>
      <c r="B30" s="486" t="s">
        <v>236</v>
      </c>
      <c r="C30" s="545">
        <v>100000</v>
      </c>
      <c r="D30" s="545">
        <v>43853</v>
      </c>
      <c r="E30" s="530">
        <f t="shared" si="0"/>
        <v>43.85</v>
      </c>
    </row>
    <row r="31" spans="1:5" ht="12.9" customHeight="1">
      <c r="A31" s="479"/>
      <c r="B31" s="486" t="s">
        <v>180</v>
      </c>
      <c r="C31" s="529">
        <v>22596000</v>
      </c>
      <c r="D31" s="529">
        <v>48377110</v>
      </c>
      <c r="E31" s="530">
        <f t="shared" si="0"/>
        <v>214.1</v>
      </c>
    </row>
    <row r="32" spans="1:5" ht="12.9" customHeight="1">
      <c r="A32" s="471"/>
      <c r="B32" s="496" t="s">
        <v>184</v>
      </c>
      <c r="C32" s="532">
        <v>1000</v>
      </c>
      <c r="D32" s="532">
        <v>0</v>
      </c>
      <c r="E32" s="533">
        <f t="shared" si="0"/>
        <v>0</v>
      </c>
    </row>
    <row r="33" spans="1:5" ht="12.9" customHeight="1">
      <c r="C33" s="113"/>
      <c r="D33" s="113"/>
    </row>
    <row r="34" spans="1:5" ht="15" customHeight="1" thickBot="1">
      <c r="A34" s="49" t="s">
        <v>179</v>
      </c>
      <c r="B34" s="1"/>
      <c r="C34" s="105"/>
      <c r="D34" s="105"/>
      <c r="E34" s="105"/>
    </row>
    <row r="35" spans="1:5" ht="14.1" customHeight="1" thickTop="1">
      <c r="A35" s="467"/>
      <c r="B35" s="468" t="s">
        <v>89</v>
      </c>
      <c r="C35" s="516" t="s">
        <v>178</v>
      </c>
      <c r="D35" s="516" t="s">
        <v>177</v>
      </c>
      <c r="E35" s="517" t="s">
        <v>176</v>
      </c>
    </row>
    <row r="36" spans="1:5" ht="14.1" customHeight="1">
      <c r="A36" s="471" t="s">
        <v>175</v>
      </c>
      <c r="B36" s="472"/>
      <c r="C36" s="518" t="s">
        <v>174</v>
      </c>
      <c r="D36" s="518" t="s">
        <v>174</v>
      </c>
      <c r="E36" s="519" t="s">
        <v>420</v>
      </c>
    </row>
    <row r="37" spans="1:5" ht="13.5" customHeight="1">
      <c r="A37" s="711" t="s">
        <v>352</v>
      </c>
      <c r="B37" s="711"/>
      <c r="C37" s="548">
        <v>64662707000</v>
      </c>
      <c r="D37" s="548">
        <v>61538171601</v>
      </c>
      <c r="E37" s="521">
        <v>95.17</v>
      </c>
    </row>
    <row r="38" spans="1:5" ht="13.5" customHeight="1">
      <c r="A38" s="713">
        <v>4</v>
      </c>
      <c r="B38" s="713"/>
      <c r="C38" s="549">
        <v>67890308000</v>
      </c>
      <c r="D38" s="549">
        <v>62427901083</v>
      </c>
      <c r="E38" s="521">
        <v>91.95</v>
      </c>
    </row>
    <row r="39" spans="1:5" ht="13.5" customHeight="1">
      <c r="A39" s="712">
        <v>5</v>
      </c>
      <c r="B39" s="712"/>
      <c r="C39" s="550">
        <f>C41+C45+C51+C53+C57</f>
        <v>69025221000</v>
      </c>
      <c r="D39" s="550">
        <f>D41+D45+D51+D53+D57</f>
        <v>66316877257</v>
      </c>
      <c r="E39" s="524">
        <f>ROUND(D39/C39,4)*100</f>
        <v>96.08</v>
      </c>
    </row>
    <row r="40" spans="1:5" ht="11.1" customHeight="1">
      <c r="A40" s="551"/>
      <c r="B40" s="486"/>
      <c r="C40" s="481"/>
      <c r="D40" s="481"/>
      <c r="E40" s="513"/>
    </row>
    <row r="41" spans="1:5" ht="12.9" customHeight="1">
      <c r="A41" s="704" t="s">
        <v>62</v>
      </c>
      <c r="B41" s="704"/>
      <c r="C41" s="552">
        <v>1435037000</v>
      </c>
      <c r="D41" s="552">
        <v>1367374475</v>
      </c>
      <c r="E41" s="521">
        <f t="shared" ref="E41:E59" si="1">ROUND(D41/C41,4)*100</f>
        <v>95.28</v>
      </c>
    </row>
    <row r="42" spans="1:5" ht="12.9" customHeight="1">
      <c r="A42" s="479"/>
      <c r="B42" s="486" t="s">
        <v>170</v>
      </c>
      <c r="C42" s="553">
        <v>1015534000</v>
      </c>
      <c r="D42" s="553">
        <v>984529070</v>
      </c>
      <c r="E42" s="521">
        <f t="shared" si="1"/>
        <v>96.95</v>
      </c>
    </row>
    <row r="43" spans="1:5" ht="12.9" customHeight="1">
      <c r="A43" s="479"/>
      <c r="B43" s="486" t="s">
        <v>235</v>
      </c>
      <c r="C43" s="553">
        <v>20700000</v>
      </c>
      <c r="D43" s="553">
        <v>19538185</v>
      </c>
      <c r="E43" s="521">
        <f t="shared" si="1"/>
        <v>94.39</v>
      </c>
    </row>
    <row r="44" spans="1:5" ht="12.9" customHeight="1">
      <c r="A44" s="479"/>
      <c r="B44" s="486" t="s">
        <v>254</v>
      </c>
      <c r="C44" s="553">
        <v>398803000</v>
      </c>
      <c r="D44" s="553">
        <v>363307220</v>
      </c>
      <c r="E44" s="554">
        <f t="shared" si="1"/>
        <v>91.100000000000009</v>
      </c>
    </row>
    <row r="45" spans="1:5" ht="12.9" customHeight="1">
      <c r="A45" s="704" t="s">
        <v>234</v>
      </c>
      <c r="B45" s="704"/>
      <c r="C45" s="552">
        <v>62223546000</v>
      </c>
      <c r="D45" s="552">
        <v>59801259338</v>
      </c>
      <c r="E45" s="521">
        <f t="shared" si="1"/>
        <v>96.11</v>
      </c>
    </row>
    <row r="46" spans="1:5" ht="12.9" customHeight="1">
      <c r="A46" s="479"/>
      <c r="B46" s="486" t="s">
        <v>253</v>
      </c>
      <c r="C46" s="553">
        <v>57737102000</v>
      </c>
      <c r="D46" s="553">
        <v>55896878048</v>
      </c>
      <c r="E46" s="521">
        <f t="shared" si="1"/>
        <v>96.81</v>
      </c>
    </row>
    <row r="47" spans="1:5" ht="12.9" customHeight="1">
      <c r="A47" s="479"/>
      <c r="B47" s="486" t="s">
        <v>252</v>
      </c>
      <c r="C47" s="553">
        <v>1003751000</v>
      </c>
      <c r="D47" s="553">
        <v>823836096</v>
      </c>
      <c r="E47" s="521">
        <f t="shared" si="1"/>
        <v>82.08</v>
      </c>
    </row>
    <row r="48" spans="1:5" ht="12.9" customHeight="1">
      <c r="A48" s="479"/>
      <c r="B48" s="486" t="s">
        <v>251</v>
      </c>
      <c r="C48" s="553">
        <v>1447313000</v>
      </c>
      <c r="D48" s="553">
        <v>1311947732</v>
      </c>
      <c r="E48" s="521">
        <f t="shared" si="1"/>
        <v>90.649999999999991</v>
      </c>
    </row>
    <row r="49" spans="1:5" ht="12.9" customHeight="1">
      <c r="A49" s="479"/>
      <c r="B49" s="486" t="s">
        <v>250</v>
      </c>
      <c r="C49" s="553">
        <v>280774000</v>
      </c>
      <c r="D49" s="553">
        <v>209998790</v>
      </c>
      <c r="E49" s="521">
        <f t="shared" si="1"/>
        <v>74.790000000000006</v>
      </c>
    </row>
    <row r="50" spans="1:5" ht="12.9" customHeight="1">
      <c r="A50" s="479"/>
      <c r="B50" s="486" t="s">
        <v>249</v>
      </c>
      <c r="C50" s="553">
        <v>1754606000</v>
      </c>
      <c r="D50" s="553">
        <v>1558598672</v>
      </c>
      <c r="E50" s="554">
        <f t="shared" si="1"/>
        <v>88.83</v>
      </c>
    </row>
    <row r="51" spans="1:5" ht="12.9" customHeight="1">
      <c r="A51" s="704" t="s">
        <v>248</v>
      </c>
      <c r="B51" s="704"/>
      <c r="C51" s="552">
        <v>1222168000</v>
      </c>
      <c r="D51" s="552">
        <v>1222163337</v>
      </c>
      <c r="E51" s="521">
        <f t="shared" si="1"/>
        <v>100</v>
      </c>
    </row>
    <row r="52" spans="1:5" ht="12.9" customHeight="1">
      <c r="A52" s="479"/>
      <c r="B52" s="486" t="s">
        <v>248</v>
      </c>
      <c r="C52" s="553">
        <v>1222168000</v>
      </c>
      <c r="D52" s="553">
        <v>1222163337</v>
      </c>
      <c r="E52" s="554">
        <f t="shared" si="1"/>
        <v>100</v>
      </c>
    </row>
    <row r="53" spans="1:5" ht="12.9" customHeight="1">
      <c r="A53" s="704" t="s">
        <v>247</v>
      </c>
      <c r="B53" s="704"/>
      <c r="C53" s="552">
        <v>2737759000</v>
      </c>
      <c r="D53" s="552">
        <v>2521369463</v>
      </c>
      <c r="E53" s="521">
        <f t="shared" si="1"/>
        <v>92.100000000000009</v>
      </c>
    </row>
    <row r="54" spans="1:5" ht="12.9" customHeight="1">
      <c r="A54" s="479"/>
      <c r="B54" s="486" t="s">
        <v>246</v>
      </c>
      <c r="C54" s="529">
        <v>1373894000</v>
      </c>
      <c r="D54" s="555">
        <v>1234533692</v>
      </c>
      <c r="E54" s="521">
        <f t="shared" si="1"/>
        <v>89.86</v>
      </c>
    </row>
    <row r="55" spans="1:5" ht="12.9" customHeight="1">
      <c r="A55" s="479"/>
      <c r="B55" s="486" t="s">
        <v>245</v>
      </c>
      <c r="C55" s="553">
        <v>180739000</v>
      </c>
      <c r="D55" s="553">
        <v>171892128</v>
      </c>
      <c r="E55" s="521">
        <f t="shared" si="1"/>
        <v>95.11</v>
      </c>
    </row>
    <row r="56" spans="1:5" ht="12.9" customHeight="1">
      <c r="A56" s="479"/>
      <c r="B56" s="486" t="s">
        <v>244</v>
      </c>
      <c r="C56" s="553">
        <v>1183126000</v>
      </c>
      <c r="D56" s="553">
        <v>1114943643</v>
      </c>
      <c r="E56" s="554">
        <f t="shared" si="1"/>
        <v>94.24</v>
      </c>
    </row>
    <row r="57" spans="1:5" ht="12.9" customHeight="1">
      <c r="A57" s="704" t="s">
        <v>58</v>
      </c>
      <c r="B57" s="704"/>
      <c r="C57" s="552">
        <v>1406711000</v>
      </c>
      <c r="D57" s="552">
        <v>1404710644</v>
      </c>
      <c r="E57" s="521">
        <f t="shared" si="1"/>
        <v>99.86</v>
      </c>
    </row>
    <row r="58" spans="1:5" ht="12.9" customHeight="1">
      <c r="A58" s="479"/>
      <c r="B58" s="486" t="s">
        <v>243</v>
      </c>
      <c r="C58" s="553">
        <v>634581000</v>
      </c>
      <c r="D58" s="553">
        <v>632580812</v>
      </c>
      <c r="E58" s="521">
        <f t="shared" si="1"/>
        <v>99.68</v>
      </c>
    </row>
    <row r="59" spans="1:5" ht="12.9" customHeight="1">
      <c r="A59" s="471"/>
      <c r="B59" s="496" t="s">
        <v>224</v>
      </c>
      <c r="C59" s="556">
        <v>772130000</v>
      </c>
      <c r="D59" s="556">
        <v>772129832</v>
      </c>
      <c r="E59" s="521">
        <f t="shared" si="1"/>
        <v>100</v>
      </c>
    </row>
    <row r="60" spans="1:5" s="25" customFormat="1" ht="12.9" customHeight="1">
      <c r="A60" s="25" t="s">
        <v>431</v>
      </c>
      <c r="B60" s="95"/>
      <c r="E60" s="229"/>
    </row>
    <row r="71" spans="1:4" ht="12.9" customHeight="1">
      <c r="D71" s="15">
        <v>0</v>
      </c>
    </row>
    <row r="74" spans="1:4" ht="12.9" customHeight="1">
      <c r="D74" s="15">
        <v>0</v>
      </c>
    </row>
    <row r="75" spans="1:4" ht="12.9" customHeight="1">
      <c r="A75" s="78"/>
      <c r="B75" s="104"/>
    </row>
  </sheetData>
  <mergeCells count="20">
    <mergeCell ref="A57:B57"/>
    <mergeCell ref="A37:B37"/>
    <mergeCell ref="A41:B41"/>
    <mergeCell ref="A39:B39"/>
    <mergeCell ref="A45:B45"/>
    <mergeCell ref="A51:B51"/>
    <mergeCell ref="A53:B53"/>
    <mergeCell ref="A38:B38"/>
    <mergeCell ref="A6:B6"/>
    <mergeCell ref="A10:B10"/>
    <mergeCell ref="A8:B8"/>
    <mergeCell ref="A12:B12"/>
    <mergeCell ref="A14:B14"/>
    <mergeCell ref="A7:B7"/>
    <mergeCell ref="A22:B22"/>
    <mergeCell ref="A24:B24"/>
    <mergeCell ref="A27:B27"/>
    <mergeCell ref="A29:B29"/>
    <mergeCell ref="A17:B17"/>
    <mergeCell ref="A20:B20"/>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C494-2892-417D-9927-D7C34E2B4907}">
  <dimension ref="A1:E423"/>
  <sheetViews>
    <sheetView view="pageBreakPreview" zoomScale="85" zoomScaleNormal="100" zoomScaleSheetLayoutView="85" workbookViewId="0">
      <selection sqref="A1:E47"/>
    </sheetView>
  </sheetViews>
  <sheetFormatPr defaultColWidth="9" defaultRowHeight="12.9" customHeight="1"/>
  <cols>
    <col min="1" max="1" width="3.6640625" style="1" customWidth="1"/>
    <col min="2" max="2" width="20.6640625" style="95" customWidth="1"/>
    <col min="3" max="5" width="20.6640625" style="15" customWidth="1"/>
    <col min="6" max="16384" width="9" style="15"/>
  </cols>
  <sheetData>
    <row r="1" spans="1:5" ht="15" customHeight="1">
      <c r="A1" s="122" t="s">
        <v>434</v>
      </c>
      <c r="B1" s="486"/>
    </row>
    <row r="2" spans="1:5" s="31" customFormat="1" ht="15" customHeight="1" thickBot="1">
      <c r="A2" s="49" t="s">
        <v>223</v>
      </c>
      <c r="B2" s="15"/>
      <c r="C2" s="103"/>
      <c r="D2" s="103"/>
      <c r="E2" s="103"/>
    </row>
    <row r="3" spans="1:5" ht="14.1" customHeight="1" thickTop="1">
      <c r="A3" s="467"/>
      <c r="B3" s="468" t="s">
        <v>89</v>
      </c>
      <c r="C3" s="516" t="s">
        <v>178</v>
      </c>
      <c r="D3" s="516" t="s">
        <v>177</v>
      </c>
      <c r="E3" s="517" t="s">
        <v>176</v>
      </c>
    </row>
    <row r="4" spans="1:5" ht="14.1" customHeight="1">
      <c r="A4" s="471" t="s">
        <v>175</v>
      </c>
      <c r="B4" s="472"/>
      <c r="C4" s="518" t="s">
        <v>174</v>
      </c>
      <c r="D4" s="518" t="s">
        <v>174</v>
      </c>
      <c r="E4" s="519" t="s">
        <v>420</v>
      </c>
    </row>
    <row r="5" spans="1:5" s="22" customFormat="1" ht="13.5" customHeight="1">
      <c r="A5" s="711" t="s">
        <v>352</v>
      </c>
      <c r="B5" s="711"/>
      <c r="C5" s="548">
        <v>15908975000</v>
      </c>
      <c r="D5" s="548">
        <v>15913908406</v>
      </c>
      <c r="E5" s="521">
        <v>100.03</v>
      </c>
    </row>
    <row r="6" spans="1:5" s="22" customFormat="1" ht="13.5" customHeight="1">
      <c r="A6" s="713">
        <v>4</v>
      </c>
      <c r="B6" s="713"/>
      <c r="C6" s="549">
        <v>17597610000</v>
      </c>
      <c r="D6" s="549">
        <v>17477137948</v>
      </c>
      <c r="E6" s="521">
        <v>99.32</v>
      </c>
    </row>
    <row r="7" spans="1:5" s="22" customFormat="1" ht="13.5" customHeight="1">
      <c r="A7" s="712">
        <v>5</v>
      </c>
      <c r="B7" s="712"/>
      <c r="C7" s="550">
        <f>C9+C11+C13+C15+C17+C19</f>
        <v>17688093000</v>
      </c>
      <c r="D7" s="550">
        <f>D9+D11+D13+D15+D17+D19</f>
        <v>17657644118</v>
      </c>
      <c r="E7" s="524">
        <f>ROUND(D7/C7,4)*100</f>
        <v>99.83</v>
      </c>
    </row>
    <row r="8" spans="1:5" s="22" customFormat="1" ht="11.1" customHeight="1">
      <c r="A8" s="551" t="s">
        <v>222</v>
      </c>
      <c r="B8" s="486"/>
      <c r="C8" s="512"/>
      <c r="D8" s="512"/>
      <c r="E8" s="478"/>
    </row>
    <row r="9" spans="1:5" ht="12.9" customHeight="1">
      <c r="A9" s="704" t="s">
        <v>269</v>
      </c>
      <c r="B9" s="704"/>
      <c r="C9" s="526">
        <v>7178328000</v>
      </c>
      <c r="D9" s="526">
        <v>7210278931</v>
      </c>
      <c r="E9" s="527">
        <f t="shared" ref="E9:E24" si="0">ROUND(D9/C9,4)*100</f>
        <v>100.44999999999999</v>
      </c>
    </row>
    <row r="10" spans="1:5" ht="12.9" customHeight="1">
      <c r="A10" s="479"/>
      <c r="B10" s="486" t="s">
        <v>269</v>
      </c>
      <c r="C10" s="529">
        <v>7178328000</v>
      </c>
      <c r="D10" s="529">
        <v>7210278931</v>
      </c>
      <c r="E10" s="530">
        <f t="shared" si="0"/>
        <v>100.44999999999999</v>
      </c>
    </row>
    <row r="11" spans="1:5" ht="12.9" customHeight="1">
      <c r="A11" s="704" t="s">
        <v>43</v>
      </c>
      <c r="B11" s="704"/>
      <c r="C11" s="526">
        <v>15000</v>
      </c>
      <c r="D11" s="526">
        <v>10800</v>
      </c>
      <c r="E11" s="527">
        <f t="shared" si="0"/>
        <v>72</v>
      </c>
    </row>
    <row r="12" spans="1:5" ht="12.9" customHeight="1">
      <c r="A12" s="479"/>
      <c r="B12" s="486" t="s">
        <v>268</v>
      </c>
      <c r="C12" s="529">
        <v>15000</v>
      </c>
      <c r="D12" s="529">
        <v>10800</v>
      </c>
      <c r="E12" s="530">
        <f t="shared" si="0"/>
        <v>72</v>
      </c>
    </row>
    <row r="13" spans="1:5" ht="12.9" customHeight="1">
      <c r="A13" s="704" t="s">
        <v>267</v>
      </c>
      <c r="B13" s="704"/>
      <c r="C13" s="526">
        <v>54241000</v>
      </c>
      <c r="D13" s="526">
        <v>45828633</v>
      </c>
      <c r="E13" s="527">
        <f t="shared" si="0"/>
        <v>84.49</v>
      </c>
    </row>
    <row r="14" spans="1:5" ht="12.9" customHeight="1">
      <c r="A14" s="479"/>
      <c r="B14" s="486" t="s">
        <v>266</v>
      </c>
      <c r="C14" s="529">
        <v>54241000</v>
      </c>
      <c r="D14" s="529">
        <v>45828633</v>
      </c>
      <c r="E14" s="546">
        <f t="shared" si="0"/>
        <v>84.49</v>
      </c>
    </row>
    <row r="15" spans="1:5" ht="12.9" customHeight="1">
      <c r="A15" s="704" t="s">
        <v>239</v>
      </c>
      <c r="B15" s="704"/>
      <c r="C15" s="526">
        <v>9756434000</v>
      </c>
      <c r="D15" s="526">
        <v>9756434000</v>
      </c>
      <c r="E15" s="530">
        <f t="shared" si="0"/>
        <v>100</v>
      </c>
    </row>
    <row r="16" spans="1:5" ht="12.9" customHeight="1">
      <c r="A16" s="479"/>
      <c r="B16" s="486" t="s">
        <v>238</v>
      </c>
      <c r="C16" s="529">
        <v>9756434000</v>
      </c>
      <c r="D16" s="529">
        <v>9756434000</v>
      </c>
      <c r="E16" s="546">
        <f t="shared" si="0"/>
        <v>100</v>
      </c>
    </row>
    <row r="17" spans="1:5" ht="12.9" customHeight="1">
      <c r="A17" s="704" t="s">
        <v>185</v>
      </c>
      <c r="B17" s="704"/>
      <c r="C17" s="526">
        <v>84917000</v>
      </c>
      <c r="D17" s="526">
        <v>84917458</v>
      </c>
      <c r="E17" s="530">
        <f t="shared" si="0"/>
        <v>100</v>
      </c>
    </row>
    <row r="18" spans="1:5" ht="12.9" customHeight="1">
      <c r="A18" s="479"/>
      <c r="B18" s="486" t="s">
        <v>37</v>
      </c>
      <c r="C18" s="529">
        <v>84917000</v>
      </c>
      <c r="D18" s="529">
        <v>84917458</v>
      </c>
      <c r="E18" s="530">
        <f t="shared" si="0"/>
        <v>100</v>
      </c>
    </row>
    <row r="19" spans="1:5" ht="12.9" customHeight="1">
      <c r="A19" s="704" t="s">
        <v>237</v>
      </c>
      <c r="B19" s="704"/>
      <c r="C19" s="526">
        <v>614158000</v>
      </c>
      <c r="D19" s="526">
        <v>560174296</v>
      </c>
      <c r="E19" s="527">
        <f t="shared" si="0"/>
        <v>91.210000000000008</v>
      </c>
    </row>
    <row r="20" spans="1:5" ht="12.9" customHeight="1">
      <c r="A20" s="479"/>
      <c r="B20" s="486" t="s">
        <v>236</v>
      </c>
      <c r="C20" s="529">
        <v>1000</v>
      </c>
      <c r="D20" s="529">
        <v>4225</v>
      </c>
      <c r="E20" s="530">
        <f t="shared" si="0"/>
        <v>422.49999999999994</v>
      </c>
    </row>
    <row r="21" spans="1:5" ht="12.9" customHeight="1">
      <c r="A21" s="479"/>
      <c r="B21" s="486" t="s">
        <v>181</v>
      </c>
      <c r="C21" s="529">
        <v>588492000</v>
      </c>
      <c r="D21" s="529">
        <v>553314016</v>
      </c>
      <c r="E21" s="530">
        <f t="shared" si="0"/>
        <v>94.02000000000001</v>
      </c>
    </row>
    <row r="22" spans="1:5" ht="12.9" customHeight="1">
      <c r="A22" s="479"/>
      <c r="B22" s="486" t="s">
        <v>243</v>
      </c>
      <c r="C22" s="529">
        <v>22001000</v>
      </c>
      <c r="D22" s="529">
        <v>3077400</v>
      </c>
      <c r="E22" s="530">
        <f t="shared" si="0"/>
        <v>13.99</v>
      </c>
    </row>
    <row r="23" spans="1:5" ht="12.9" customHeight="1">
      <c r="A23" s="479"/>
      <c r="B23" s="106" t="s">
        <v>265</v>
      </c>
      <c r="C23" s="529">
        <v>3663000</v>
      </c>
      <c r="D23" s="545">
        <v>3778655</v>
      </c>
      <c r="E23" s="530">
        <f t="shared" si="0"/>
        <v>103.16000000000001</v>
      </c>
    </row>
    <row r="24" spans="1:5" ht="12.9" customHeight="1">
      <c r="A24" s="471"/>
      <c r="B24" s="496" t="s">
        <v>435</v>
      </c>
      <c r="C24" s="532">
        <v>1000</v>
      </c>
      <c r="D24" s="532">
        <v>0</v>
      </c>
      <c r="E24" s="533">
        <f t="shared" si="0"/>
        <v>0</v>
      </c>
    </row>
    <row r="25" spans="1:5" ht="15" customHeight="1"/>
    <row r="26" spans="1:5" s="31" customFormat="1" ht="15" customHeight="1" thickBot="1">
      <c r="A26" s="49" t="s">
        <v>179</v>
      </c>
      <c r="B26" s="1"/>
      <c r="C26" s="103"/>
      <c r="D26" s="103"/>
      <c r="E26" s="103"/>
    </row>
    <row r="27" spans="1:5" ht="14.1" customHeight="1" thickTop="1">
      <c r="A27" s="467"/>
      <c r="B27" s="468" t="s">
        <v>89</v>
      </c>
      <c r="C27" s="516" t="s">
        <v>178</v>
      </c>
      <c r="D27" s="516" t="s">
        <v>177</v>
      </c>
      <c r="E27" s="517" t="s">
        <v>176</v>
      </c>
    </row>
    <row r="28" spans="1:5" ht="14.1" customHeight="1">
      <c r="A28" s="471" t="s">
        <v>175</v>
      </c>
      <c r="B28" s="472"/>
      <c r="C28" s="518" t="s">
        <v>174</v>
      </c>
      <c r="D28" s="518" t="s">
        <v>174</v>
      </c>
      <c r="E28" s="519" t="s">
        <v>420</v>
      </c>
    </row>
    <row r="29" spans="1:5" s="22" customFormat="1" ht="13.5" customHeight="1">
      <c r="A29" s="711" t="s">
        <v>352</v>
      </c>
      <c r="B29" s="711"/>
      <c r="C29" s="557">
        <v>15908975000</v>
      </c>
      <c r="D29" s="557">
        <v>15720123133</v>
      </c>
      <c r="E29" s="521">
        <v>98.81</v>
      </c>
    </row>
    <row r="30" spans="1:5" s="22" customFormat="1" ht="13.5" customHeight="1">
      <c r="A30" s="713">
        <v>4</v>
      </c>
      <c r="B30" s="713"/>
      <c r="C30" s="549">
        <v>17597610000</v>
      </c>
      <c r="D30" s="549">
        <v>17392220490</v>
      </c>
      <c r="E30" s="521">
        <v>98.83</v>
      </c>
    </row>
    <row r="31" spans="1:5" s="22" customFormat="1" ht="13.5" customHeight="1">
      <c r="A31" s="712">
        <v>5</v>
      </c>
      <c r="B31" s="712"/>
      <c r="C31" s="550">
        <f>C33+C36+C38+C40+C42+C45</f>
        <v>17688093000</v>
      </c>
      <c r="D31" s="550">
        <f>D33+D36+D38+D40+D42+D45</f>
        <v>17477366591</v>
      </c>
      <c r="E31" s="524">
        <f>ROUND(D31/C31,4)*100</f>
        <v>98.81</v>
      </c>
    </row>
    <row r="32" spans="1:5" s="22" customFormat="1" ht="11.1" customHeight="1">
      <c r="A32" s="551"/>
      <c r="B32" s="486"/>
      <c r="C32" s="558"/>
      <c r="D32" s="558"/>
      <c r="E32" s="559"/>
    </row>
    <row r="33" spans="1:5" ht="12.9" customHeight="1">
      <c r="A33" s="704" t="s">
        <v>264</v>
      </c>
      <c r="B33" s="704"/>
      <c r="C33" s="526">
        <v>383308000</v>
      </c>
      <c r="D33" s="526">
        <v>344620777</v>
      </c>
      <c r="E33" s="530">
        <f t="shared" ref="E33:E46" si="1">ROUND(D33/C33,4)*100</f>
        <v>89.91</v>
      </c>
    </row>
    <row r="34" spans="1:5" ht="12.9" customHeight="1">
      <c r="A34" s="479"/>
      <c r="B34" s="486" t="s">
        <v>170</v>
      </c>
      <c r="C34" s="529">
        <v>347675000</v>
      </c>
      <c r="D34" s="529">
        <v>313885703</v>
      </c>
      <c r="E34" s="530">
        <f t="shared" si="1"/>
        <v>90.28</v>
      </c>
    </row>
    <row r="35" spans="1:5" ht="12.9" customHeight="1">
      <c r="A35" s="479"/>
      <c r="B35" s="486" t="s">
        <v>263</v>
      </c>
      <c r="C35" s="529">
        <v>35633000</v>
      </c>
      <c r="D35" s="529">
        <v>30735074</v>
      </c>
      <c r="E35" s="546">
        <f t="shared" si="1"/>
        <v>86.25</v>
      </c>
    </row>
    <row r="36" spans="1:5" ht="12.9" customHeight="1">
      <c r="A36" s="704" t="s">
        <v>436</v>
      </c>
      <c r="B36" s="704"/>
      <c r="C36" s="526">
        <v>378000000</v>
      </c>
      <c r="D36" s="526">
        <v>373800000</v>
      </c>
      <c r="E36" s="530">
        <f t="shared" si="1"/>
        <v>98.89</v>
      </c>
    </row>
    <row r="37" spans="1:5" ht="12.9" customHeight="1">
      <c r="A37" s="479"/>
      <c r="B37" s="486" t="s">
        <v>262</v>
      </c>
      <c r="C37" s="529">
        <v>378000000</v>
      </c>
      <c r="D37" s="529">
        <v>373800000</v>
      </c>
      <c r="E37" s="546">
        <f t="shared" si="1"/>
        <v>98.89</v>
      </c>
    </row>
    <row r="38" spans="1:5" ht="12.9" customHeight="1">
      <c r="A38" s="704" t="s">
        <v>44</v>
      </c>
      <c r="B38" s="704"/>
      <c r="C38" s="526">
        <v>16176832000</v>
      </c>
      <c r="D38" s="526">
        <v>16130469420</v>
      </c>
      <c r="E38" s="530">
        <f t="shared" si="1"/>
        <v>99.71</v>
      </c>
    </row>
    <row r="39" spans="1:5" ht="12.9" customHeight="1">
      <c r="A39" s="479"/>
      <c r="B39" s="486" t="s">
        <v>261</v>
      </c>
      <c r="C39" s="529">
        <v>16176832000</v>
      </c>
      <c r="D39" s="529">
        <v>16130469420</v>
      </c>
      <c r="E39" s="546">
        <f t="shared" si="1"/>
        <v>99.71</v>
      </c>
    </row>
    <row r="40" spans="1:5" ht="12.9" customHeight="1">
      <c r="A40" s="704" t="s">
        <v>260</v>
      </c>
      <c r="B40" s="704"/>
      <c r="C40" s="526">
        <v>605867000</v>
      </c>
      <c r="D40" s="526">
        <v>519187094</v>
      </c>
      <c r="E40" s="530">
        <f t="shared" si="1"/>
        <v>85.69</v>
      </c>
    </row>
    <row r="41" spans="1:5" ht="12.9" customHeight="1">
      <c r="A41" s="479"/>
      <c r="B41" s="486" t="s">
        <v>259</v>
      </c>
      <c r="C41" s="529">
        <v>605867000</v>
      </c>
      <c r="D41" s="529">
        <v>519187094</v>
      </c>
      <c r="E41" s="546">
        <f t="shared" si="1"/>
        <v>85.69</v>
      </c>
    </row>
    <row r="42" spans="1:5" ht="12.9" customHeight="1">
      <c r="A42" s="704" t="s">
        <v>137</v>
      </c>
      <c r="B42" s="704"/>
      <c r="C42" s="526">
        <v>114086000</v>
      </c>
      <c r="D42" s="526">
        <v>109289300</v>
      </c>
      <c r="E42" s="530">
        <f t="shared" si="1"/>
        <v>95.8</v>
      </c>
    </row>
    <row r="43" spans="1:5" ht="12.9" customHeight="1">
      <c r="A43" s="479"/>
      <c r="B43" s="486" t="s">
        <v>243</v>
      </c>
      <c r="C43" s="545">
        <v>22001000</v>
      </c>
      <c r="D43" s="545">
        <v>17204300</v>
      </c>
      <c r="E43" s="530">
        <f t="shared" si="1"/>
        <v>78.2</v>
      </c>
    </row>
    <row r="44" spans="1:5" ht="12.9" customHeight="1">
      <c r="A44" s="479"/>
      <c r="B44" s="486" t="s">
        <v>105</v>
      </c>
      <c r="C44" s="529">
        <v>92085000</v>
      </c>
      <c r="D44" s="529">
        <v>92085000</v>
      </c>
      <c r="E44" s="546">
        <f t="shared" si="1"/>
        <v>100</v>
      </c>
    </row>
    <row r="45" spans="1:5" ht="12.9" customHeight="1">
      <c r="A45" s="704" t="s">
        <v>258</v>
      </c>
      <c r="B45" s="704"/>
      <c r="C45" s="526">
        <v>30000000</v>
      </c>
      <c r="D45" s="526">
        <v>0</v>
      </c>
      <c r="E45" s="530">
        <f t="shared" si="1"/>
        <v>0</v>
      </c>
    </row>
    <row r="46" spans="1:5" ht="12.9" customHeight="1">
      <c r="A46" s="471"/>
      <c r="B46" s="496" t="s">
        <v>21</v>
      </c>
      <c r="C46" s="532">
        <v>30000000</v>
      </c>
      <c r="D46" s="532">
        <v>0</v>
      </c>
      <c r="E46" s="530">
        <f t="shared" si="1"/>
        <v>0</v>
      </c>
    </row>
    <row r="47" spans="1:5" s="25" customFormat="1" ht="12.9" customHeight="1">
      <c r="A47" s="25" t="s">
        <v>431</v>
      </c>
      <c r="B47" s="95"/>
      <c r="E47" s="230"/>
    </row>
    <row r="62" spans="1:2" ht="12.9" customHeight="1">
      <c r="A62" s="15"/>
      <c r="B62" s="15"/>
    </row>
    <row r="63" spans="1:2" ht="12.9" customHeight="1">
      <c r="A63" s="15"/>
      <c r="B63" s="15"/>
    </row>
    <row r="64" spans="1:2" ht="12.9" customHeight="1">
      <c r="A64" s="15"/>
      <c r="B64" s="15"/>
    </row>
    <row r="65" spans="1:4" ht="12.9" customHeight="1">
      <c r="A65" s="15"/>
      <c r="B65" s="15"/>
    </row>
    <row r="66" spans="1:4" ht="12.9" customHeight="1">
      <c r="A66" s="15"/>
      <c r="B66" s="15"/>
    </row>
    <row r="67" spans="1:4" ht="12.9" customHeight="1">
      <c r="A67" s="15"/>
      <c r="B67" s="15"/>
    </row>
    <row r="68" spans="1:4" ht="12.9" customHeight="1">
      <c r="A68" s="15"/>
      <c r="B68" s="15"/>
    </row>
    <row r="69" spans="1:4" ht="12.9" customHeight="1">
      <c r="A69" s="15"/>
      <c r="B69" s="15"/>
    </row>
    <row r="70" spans="1:4" ht="12.9" customHeight="1">
      <c r="A70" s="15"/>
      <c r="B70" s="15"/>
    </row>
    <row r="71" spans="1:4" ht="12.9" customHeight="1">
      <c r="A71" s="15"/>
      <c r="B71" s="15"/>
      <c r="D71" s="15">
        <v>0</v>
      </c>
    </row>
    <row r="72" spans="1:4" ht="12.9" customHeight="1">
      <c r="A72" s="15"/>
      <c r="B72" s="15"/>
    </row>
    <row r="73" spans="1:4" ht="12.9" customHeight="1">
      <c r="A73" s="15"/>
      <c r="B73" s="15"/>
    </row>
    <row r="74" spans="1:4" ht="12.9" customHeight="1">
      <c r="A74" s="15"/>
      <c r="B74" s="15"/>
      <c r="D74" s="15">
        <v>0</v>
      </c>
    </row>
    <row r="75" spans="1:4" ht="12.9" customHeight="1">
      <c r="A75" s="75"/>
      <c r="B75" s="75"/>
    </row>
    <row r="76" spans="1:4" ht="12.9" customHeight="1">
      <c r="A76" s="15"/>
      <c r="B76" s="15"/>
    </row>
    <row r="77" spans="1:4" ht="12.9" customHeight="1">
      <c r="A77" s="15"/>
      <c r="B77" s="15"/>
    </row>
    <row r="78" spans="1:4" ht="12.9" customHeight="1">
      <c r="A78" s="15"/>
      <c r="B78" s="15"/>
    </row>
    <row r="79" spans="1:4" ht="12.9" customHeight="1">
      <c r="A79" s="15"/>
      <c r="B79" s="15"/>
    </row>
    <row r="80" spans="1:4" ht="12.9" customHeight="1">
      <c r="A80" s="15"/>
      <c r="B80" s="15"/>
    </row>
    <row r="81" spans="1:2" ht="12.9" customHeight="1">
      <c r="A81" s="15"/>
      <c r="B81" s="15"/>
    </row>
    <row r="82" spans="1:2" ht="12.9" customHeight="1">
      <c r="A82" s="15"/>
      <c r="B82" s="15"/>
    </row>
    <row r="83" spans="1:2" ht="12.9" customHeight="1">
      <c r="A83" s="15"/>
      <c r="B83" s="15"/>
    </row>
    <row r="84" spans="1:2" ht="12.9" customHeight="1">
      <c r="A84" s="15"/>
      <c r="B84" s="15"/>
    </row>
    <row r="85" spans="1:2" ht="12.9" customHeight="1">
      <c r="A85" s="15"/>
      <c r="B85" s="15"/>
    </row>
    <row r="86" spans="1:2" ht="12.9" customHeight="1">
      <c r="A86" s="15"/>
      <c r="B86" s="15"/>
    </row>
    <row r="87" spans="1:2" ht="12.9" customHeight="1">
      <c r="A87" s="15"/>
      <c r="B87" s="15"/>
    </row>
    <row r="88" spans="1:2" ht="12.9" customHeight="1">
      <c r="A88" s="15"/>
      <c r="B88" s="15"/>
    </row>
    <row r="89" spans="1:2" ht="12.9" customHeight="1">
      <c r="A89" s="15"/>
      <c r="B89" s="15"/>
    </row>
    <row r="90" spans="1:2" ht="12.9" customHeight="1">
      <c r="A90" s="15"/>
      <c r="B90" s="15"/>
    </row>
    <row r="91" spans="1:2" ht="12.9" customHeight="1">
      <c r="A91" s="15"/>
      <c r="B91" s="15"/>
    </row>
    <row r="92" spans="1:2" ht="12.9" customHeight="1">
      <c r="A92" s="15"/>
      <c r="B92" s="15"/>
    </row>
    <row r="93" spans="1:2" ht="12.9" customHeight="1">
      <c r="A93" s="15"/>
      <c r="B93" s="15"/>
    </row>
    <row r="94" spans="1:2" ht="12.9" customHeight="1">
      <c r="A94" s="15"/>
      <c r="B94" s="15"/>
    </row>
    <row r="95" spans="1:2" ht="12.9" customHeight="1">
      <c r="A95" s="15"/>
      <c r="B95" s="15"/>
    </row>
    <row r="96" spans="1:2" ht="12.9" customHeight="1">
      <c r="A96" s="15"/>
      <c r="B96" s="15"/>
    </row>
    <row r="97" spans="1:2" ht="12.9" customHeight="1">
      <c r="A97" s="15"/>
      <c r="B97" s="15"/>
    </row>
    <row r="98" spans="1:2" ht="12.9" customHeight="1">
      <c r="A98" s="15"/>
      <c r="B98" s="15"/>
    </row>
    <row r="99" spans="1:2" ht="12.9" customHeight="1">
      <c r="A99" s="15"/>
      <c r="B99" s="15"/>
    </row>
    <row r="100" spans="1:2" ht="12.9" customHeight="1">
      <c r="A100" s="15"/>
      <c r="B100" s="15"/>
    </row>
    <row r="101" spans="1:2" ht="12.9" customHeight="1">
      <c r="A101" s="15"/>
      <c r="B101" s="15"/>
    </row>
    <row r="102" spans="1:2" ht="12.9" customHeight="1">
      <c r="A102" s="15"/>
      <c r="B102" s="15"/>
    </row>
    <row r="103" spans="1:2" ht="12.9" customHeight="1">
      <c r="A103" s="15"/>
      <c r="B103" s="15"/>
    </row>
    <row r="104" spans="1:2" ht="12.9" customHeight="1">
      <c r="A104" s="15"/>
      <c r="B104" s="15"/>
    </row>
    <row r="105" spans="1:2" ht="12.9" customHeight="1">
      <c r="A105" s="15"/>
      <c r="B105" s="15"/>
    </row>
    <row r="106" spans="1:2" ht="12.9" customHeight="1">
      <c r="A106" s="15"/>
      <c r="B106" s="15"/>
    </row>
    <row r="107" spans="1:2" ht="12.9" customHeight="1">
      <c r="A107" s="15"/>
      <c r="B107" s="15"/>
    </row>
    <row r="108" spans="1:2" ht="12.9" customHeight="1">
      <c r="A108" s="15"/>
      <c r="B108" s="15"/>
    </row>
    <row r="109" spans="1:2" ht="12.9" customHeight="1">
      <c r="A109" s="15"/>
      <c r="B109" s="15"/>
    </row>
    <row r="110" spans="1:2" ht="12.9" customHeight="1">
      <c r="A110" s="15"/>
      <c r="B110" s="15"/>
    </row>
    <row r="111" spans="1:2" ht="12.9" customHeight="1">
      <c r="A111" s="15"/>
      <c r="B111" s="15"/>
    </row>
    <row r="112" spans="1:2" ht="12.9" customHeight="1">
      <c r="A112" s="15"/>
      <c r="B112" s="15"/>
    </row>
    <row r="113" spans="1:2" ht="12.9" customHeight="1">
      <c r="A113" s="15"/>
      <c r="B113" s="15"/>
    </row>
    <row r="114" spans="1:2" ht="12.9" customHeight="1">
      <c r="A114" s="15"/>
      <c r="B114" s="15"/>
    </row>
    <row r="115" spans="1:2" ht="12.9" customHeight="1">
      <c r="A115" s="15"/>
      <c r="B115" s="15"/>
    </row>
    <row r="116" spans="1:2" ht="12.9" customHeight="1">
      <c r="A116" s="15"/>
      <c r="B116" s="15"/>
    </row>
    <row r="117" spans="1:2" ht="12.9" customHeight="1">
      <c r="A117" s="15"/>
      <c r="B117" s="15"/>
    </row>
    <row r="118" spans="1:2" ht="12.9" customHeight="1">
      <c r="A118" s="15"/>
      <c r="B118" s="15"/>
    </row>
    <row r="119" spans="1:2" ht="12.9" customHeight="1">
      <c r="A119" s="15"/>
      <c r="B119" s="15"/>
    </row>
    <row r="120" spans="1:2" ht="12.9" customHeight="1">
      <c r="A120" s="15"/>
      <c r="B120" s="15"/>
    </row>
    <row r="121" spans="1:2" ht="12.9" customHeight="1">
      <c r="A121" s="15"/>
      <c r="B121" s="15"/>
    </row>
    <row r="122" spans="1:2" ht="12.9" customHeight="1">
      <c r="A122" s="15"/>
      <c r="B122" s="15"/>
    </row>
    <row r="123" spans="1:2" ht="12.9" customHeight="1">
      <c r="A123" s="15"/>
      <c r="B123" s="15"/>
    </row>
    <row r="124" spans="1:2" ht="12.9" customHeight="1">
      <c r="A124" s="15"/>
      <c r="B124" s="15"/>
    </row>
    <row r="125" spans="1:2" ht="12.9" customHeight="1">
      <c r="A125" s="15"/>
      <c r="B125" s="15"/>
    </row>
    <row r="126" spans="1:2" ht="12.9" customHeight="1">
      <c r="A126" s="15"/>
      <c r="B126" s="15"/>
    </row>
    <row r="127" spans="1:2" ht="12.9" customHeight="1">
      <c r="A127" s="15"/>
      <c r="B127" s="15"/>
    </row>
    <row r="128" spans="1:2" ht="12.9" customHeight="1">
      <c r="A128" s="15"/>
      <c r="B128" s="15"/>
    </row>
    <row r="129" spans="1:2" ht="12.9" customHeight="1">
      <c r="A129" s="15"/>
      <c r="B129" s="15"/>
    </row>
    <row r="130" spans="1:2" ht="12.9" customHeight="1">
      <c r="A130" s="15"/>
      <c r="B130" s="15"/>
    </row>
    <row r="131" spans="1:2" ht="12.9" customHeight="1">
      <c r="A131" s="15"/>
      <c r="B131" s="15"/>
    </row>
    <row r="132" spans="1:2" ht="12.9" customHeight="1">
      <c r="A132" s="15"/>
      <c r="B132" s="15"/>
    </row>
    <row r="133" spans="1:2" ht="12.9" customHeight="1">
      <c r="A133" s="15"/>
      <c r="B133" s="15"/>
    </row>
    <row r="134" spans="1:2" ht="12.9" customHeight="1">
      <c r="A134" s="15"/>
      <c r="B134" s="15"/>
    </row>
    <row r="135" spans="1:2" ht="12.9" customHeight="1">
      <c r="A135" s="15"/>
      <c r="B135" s="15"/>
    </row>
    <row r="136" spans="1:2" ht="12.9" customHeight="1">
      <c r="A136" s="15"/>
      <c r="B136" s="15"/>
    </row>
    <row r="137" spans="1:2" ht="12.9" customHeight="1">
      <c r="A137" s="15"/>
      <c r="B137" s="15"/>
    </row>
    <row r="138" spans="1:2" ht="12.9" customHeight="1">
      <c r="A138" s="15"/>
      <c r="B138" s="15"/>
    </row>
    <row r="139" spans="1:2" ht="12.9" customHeight="1">
      <c r="A139" s="15"/>
      <c r="B139" s="15"/>
    </row>
    <row r="140" spans="1:2" ht="12.9" customHeight="1">
      <c r="A140" s="15"/>
      <c r="B140" s="15"/>
    </row>
    <row r="141" spans="1:2" ht="12.9" customHeight="1">
      <c r="A141" s="15"/>
      <c r="B141" s="15"/>
    </row>
    <row r="142" spans="1:2" ht="12.9" customHeight="1">
      <c r="A142" s="15"/>
      <c r="B142" s="15"/>
    </row>
    <row r="143" spans="1:2" ht="12.9" customHeight="1">
      <c r="A143" s="15"/>
      <c r="B143" s="15"/>
    </row>
    <row r="144" spans="1:2" ht="12.9" customHeight="1">
      <c r="A144" s="15"/>
      <c r="B144" s="15"/>
    </row>
    <row r="145" spans="1:2" ht="12.9" customHeight="1">
      <c r="A145" s="15"/>
      <c r="B145" s="15"/>
    </row>
    <row r="146" spans="1:2" ht="12.9" customHeight="1">
      <c r="A146" s="15"/>
      <c r="B146" s="15"/>
    </row>
    <row r="147" spans="1:2" ht="12.9" customHeight="1">
      <c r="A147" s="15"/>
      <c r="B147" s="15"/>
    </row>
    <row r="148" spans="1:2" ht="12.9" customHeight="1">
      <c r="A148" s="15"/>
      <c r="B148" s="15"/>
    </row>
    <row r="149" spans="1:2" ht="12.9" customHeight="1">
      <c r="A149" s="15"/>
      <c r="B149" s="15"/>
    </row>
    <row r="150" spans="1:2" ht="12.9" customHeight="1">
      <c r="A150" s="15"/>
      <c r="B150" s="15"/>
    </row>
    <row r="151" spans="1:2" ht="12.9" customHeight="1">
      <c r="A151" s="15"/>
      <c r="B151" s="15"/>
    </row>
    <row r="152" spans="1:2" ht="12.9" customHeight="1">
      <c r="A152" s="15"/>
      <c r="B152" s="15"/>
    </row>
    <row r="153" spans="1:2" ht="12.9" customHeight="1">
      <c r="A153" s="15"/>
      <c r="B153" s="15"/>
    </row>
    <row r="154" spans="1:2" ht="12.9" customHeight="1">
      <c r="A154" s="15"/>
      <c r="B154" s="15"/>
    </row>
    <row r="155" spans="1:2" ht="12.9" customHeight="1">
      <c r="A155" s="15"/>
      <c r="B155" s="15"/>
    </row>
    <row r="156" spans="1:2" ht="12.9" customHeight="1">
      <c r="A156" s="15"/>
      <c r="B156" s="15"/>
    </row>
    <row r="157" spans="1:2" ht="12.9" customHeight="1">
      <c r="A157" s="15"/>
      <c r="B157" s="15"/>
    </row>
    <row r="158" spans="1:2" ht="12.9" customHeight="1">
      <c r="A158" s="15"/>
      <c r="B158" s="15"/>
    </row>
    <row r="159" spans="1:2" ht="12.9" customHeight="1">
      <c r="A159" s="15"/>
      <c r="B159" s="15"/>
    </row>
    <row r="160" spans="1:2" ht="12.9" customHeight="1">
      <c r="A160" s="15"/>
      <c r="B160" s="15"/>
    </row>
    <row r="161" spans="1:2" ht="12.9" customHeight="1">
      <c r="A161" s="15"/>
      <c r="B161" s="15"/>
    </row>
    <row r="162" spans="1:2" ht="12.9" customHeight="1">
      <c r="A162" s="15"/>
      <c r="B162" s="15"/>
    </row>
    <row r="163" spans="1:2" ht="12.9" customHeight="1">
      <c r="A163" s="15"/>
      <c r="B163" s="15"/>
    </row>
    <row r="164" spans="1:2" ht="12.9" customHeight="1">
      <c r="A164" s="15"/>
      <c r="B164" s="15"/>
    </row>
    <row r="165" spans="1:2" ht="12.9" customHeight="1">
      <c r="A165" s="15"/>
      <c r="B165" s="15"/>
    </row>
    <row r="166" spans="1:2" ht="12.9" customHeight="1">
      <c r="A166" s="15"/>
      <c r="B166" s="15"/>
    </row>
    <row r="167" spans="1:2" ht="12.9" customHeight="1">
      <c r="A167" s="15"/>
      <c r="B167" s="15"/>
    </row>
    <row r="168" spans="1:2" ht="12.9" customHeight="1">
      <c r="A168" s="15"/>
      <c r="B168" s="15"/>
    </row>
    <row r="169" spans="1:2" ht="12.9" customHeight="1">
      <c r="A169" s="15"/>
      <c r="B169" s="15"/>
    </row>
    <row r="170" spans="1:2" ht="12.9" customHeight="1">
      <c r="A170" s="15"/>
      <c r="B170" s="15"/>
    </row>
    <row r="171" spans="1:2" ht="12.9" customHeight="1">
      <c r="A171" s="15"/>
      <c r="B171" s="15"/>
    </row>
    <row r="172" spans="1:2" ht="12.9" customHeight="1">
      <c r="A172" s="15"/>
      <c r="B172" s="15"/>
    </row>
    <row r="173" spans="1:2" ht="12.9" customHeight="1">
      <c r="A173" s="15"/>
      <c r="B173" s="15"/>
    </row>
    <row r="174" spans="1:2" ht="12.9" customHeight="1">
      <c r="A174" s="15"/>
      <c r="B174" s="15"/>
    </row>
    <row r="175" spans="1:2" ht="12.9" customHeight="1">
      <c r="A175" s="15"/>
      <c r="B175" s="15"/>
    </row>
    <row r="176" spans="1:2" ht="12.9" customHeight="1">
      <c r="A176" s="15"/>
      <c r="B176" s="15"/>
    </row>
    <row r="177" spans="1:2" ht="12.9" customHeight="1">
      <c r="A177" s="15"/>
      <c r="B177" s="15"/>
    </row>
    <row r="178" spans="1:2" ht="12.9" customHeight="1">
      <c r="A178" s="15"/>
      <c r="B178" s="15"/>
    </row>
    <row r="179" spans="1:2" ht="12.9" customHeight="1">
      <c r="A179" s="15"/>
      <c r="B179" s="15"/>
    </row>
    <row r="180" spans="1:2" ht="12.9" customHeight="1">
      <c r="A180" s="15"/>
      <c r="B180" s="15"/>
    </row>
    <row r="181" spans="1:2" ht="12.9" customHeight="1">
      <c r="A181" s="15"/>
      <c r="B181" s="15"/>
    </row>
    <row r="182" spans="1:2" ht="12.9" customHeight="1">
      <c r="A182" s="15"/>
      <c r="B182" s="15"/>
    </row>
    <row r="183" spans="1:2" ht="12.9" customHeight="1">
      <c r="A183" s="15"/>
      <c r="B183" s="15"/>
    </row>
    <row r="184" spans="1:2" ht="12.9" customHeight="1">
      <c r="A184" s="15"/>
      <c r="B184" s="15"/>
    </row>
    <row r="185" spans="1:2" ht="12.9" customHeight="1">
      <c r="A185" s="15"/>
      <c r="B185" s="15"/>
    </row>
    <row r="186" spans="1:2" ht="12.9" customHeight="1">
      <c r="A186" s="15"/>
      <c r="B186" s="15"/>
    </row>
    <row r="187" spans="1:2" ht="12.9" customHeight="1">
      <c r="A187" s="15"/>
      <c r="B187" s="15"/>
    </row>
    <row r="188" spans="1:2" ht="12.9" customHeight="1">
      <c r="A188" s="15"/>
      <c r="B188" s="15"/>
    </row>
    <row r="189" spans="1:2" ht="12.9" customHeight="1">
      <c r="A189" s="15"/>
      <c r="B189" s="15"/>
    </row>
    <row r="190" spans="1:2" ht="12.9" customHeight="1">
      <c r="A190" s="15"/>
      <c r="B190" s="15"/>
    </row>
    <row r="191" spans="1:2" ht="12.9" customHeight="1">
      <c r="A191" s="15"/>
      <c r="B191" s="15"/>
    </row>
    <row r="192" spans="1:2" ht="12.9" customHeight="1">
      <c r="A192" s="15"/>
      <c r="B192" s="15"/>
    </row>
    <row r="193" spans="1:2" ht="12.9" customHeight="1">
      <c r="A193" s="15"/>
      <c r="B193" s="15"/>
    </row>
    <row r="194" spans="1:2" ht="12.9" customHeight="1">
      <c r="A194" s="15"/>
      <c r="B194" s="15"/>
    </row>
    <row r="195" spans="1:2" ht="12.9" customHeight="1">
      <c r="A195" s="15"/>
      <c r="B195" s="15"/>
    </row>
    <row r="196" spans="1:2" ht="12.9" customHeight="1">
      <c r="A196" s="15"/>
      <c r="B196" s="15"/>
    </row>
    <row r="197" spans="1:2" ht="12.9" customHeight="1">
      <c r="A197" s="15"/>
      <c r="B197" s="15"/>
    </row>
    <row r="198" spans="1:2" ht="12.9" customHeight="1">
      <c r="A198" s="15"/>
      <c r="B198" s="15"/>
    </row>
    <row r="199" spans="1:2" ht="12.9" customHeight="1">
      <c r="A199" s="15"/>
      <c r="B199" s="15"/>
    </row>
    <row r="200" spans="1:2" ht="12.9" customHeight="1">
      <c r="A200" s="15"/>
      <c r="B200" s="15"/>
    </row>
    <row r="201" spans="1:2" ht="12.9" customHeight="1">
      <c r="A201" s="15"/>
      <c r="B201" s="15"/>
    </row>
    <row r="202" spans="1:2" ht="12.9" customHeight="1">
      <c r="A202" s="15"/>
      <c r="B202" s="15"/>
    </row>
    <row r="203" spans="1:2" ht="12.9" customHeight="1">
      <c r="A203" s="15"/>
      <c r="B203" s="15"/>
    </row>
    <row r="204" spans="1:2" ht="12.9" customHeight="1">
      <c r="A204" s="15"/>
      <c r="B204" s="15"/>
    </row>
    <row r="205" spans="1:2" ht="12.9" customHeight="1">
      <c r="A205" s="15"/>
      <c r="B205" s="15"/>
    </row>
    <row r="206" spans="1:2" ht="12.9" customHeight="1">
      <c r="A206" s="15"/>
      <c r="B206" s="15"/>
    </row>
    <row r="207" spans="1:2" ht="12.9" customHeight="1">
      <c r="A207" s="15"/>
      <c r="B207" s="15"/>
    </row>
    <row r="208" spans="1:2" ht="12.9" customHeight="1">
      <c r="A208" s="15"/>
      <c r="B208" s="15"/>
    </row>
    <row r="209" spans="1:2" ht="12.9" customHeight="1">
      <c r="A209" s="15"/>
      <c r="B209" s="15"/>
    </row>
    <row r="210" spans="1:2" ht="12.9" customHeight="1">
      <c r="A210" s="15"/>
      <c r="B210" s="15"/>
    </row>
    <row r="211" spans="1:2" ht="12.9" customHeight="1">
      <c r="A211" s="15"/>
      <c r="B211" s="15"/>
    </row>
    <row r="212" spans="1:2" ht="12.9" customHeight="1">
      <c r="A212" s="15"/>
      <c r="B212" s="15"/>
    </row>
    <row r="213" spans="1:2" ht="12.9" customHeight="1">
      <c r="A213" s="15"/>
      <c r="B213" s="15"/>
    </row>
    <row r="214" spans="1:2" ht="12.9" customHeight="1">
      <c r="A214" s="15"/>
      <c r="B214" s="15"/>
    </row>
    <row r="215" spans="1:2" ht="12.9" customHeight="1">
      <c r="A215" s="15"/>
      <c r="B215" s="15"/>
    </row>
    <row r="216" spans="1:2" ht="12.9" customHeight="1">
      <c r="A216" s="15"/>
      <c r="B216" s="15"/>
    </row>
    <row r="217" spans="1:2" ht="12.9" customHeight="1">
      <c r="A217" s="15"/>
      <c r="B217" s="15"/>
    </row>
    <row r="218" spans="1:2" ht="12.9" customHeight="1">
      <c r="A218" s="15"/>
      <c r="B218" s="15"/>
    </row>
    <row r="219" spans="1:2" ht="12.9" customHeight="1">
      <c r="A219" s="15"/>
      <c r="B219" s="15"/>
    </row>
    <row r="220" spans="1:2" ht="12.9" customHeight="1">
      <c r="A220" s="15"/>
      <c r="B220" s="15"/>
    </row>
    <row r="221" spans="1:2" ht="12.9" customHeight="1">
      <c r="A221" s="15"/>
      <c r="B221" s="15"/>
    </row>
    <row r="222" spans="1:2" ht="12.9" customHeight="1">
      <c r="A222" s="15"/>
      <c r="B222" s="15"/>
    </row>
    <row r="223" spans="1:2" ht="12.9" customHeight="1">
      <c r="A223" s="15"/>
      <c r="B223" s="15"/>
    </row>
    <row r="224" spans="1:2" ht="12.9" customHeight="1">
      <c r="A224" s="15"/>
      <c r="B224" s="15"/>
    </row>
    <row r="225" spans="1:2" ht="12.9" customHeight="1">
      <c r="A225" s="15"/>
      <c r="B225" s="15"/>
    </row>
    <row r="226" spans="1:2" ht="12.9" customHeight="1">
      <c r="A226" s="15"/>
      <c r="B226" s="15"/>
    </row>
    <row r="227" spans="1:2" ht="12.9" customHeight="1">
      <c r="A227" s="15"/>
      <c r="B227" s="15"/>
    </row>
    <row r="228" spans="1:2" ht="12.9" customHeight="1">
      <c r="A228" s="15"/>
      <c r="B228" s="15"/>
    </row>
    <row r="229" spans="1:2" ht="12.9" customHeight="1">
      <c r="A229" s="15"/>
      <c r="B229" s="15"/>
    </row>
    <row r="230" spans="1:2" ht="12.9" customHeight="1">
      <c r="A230" s="15"/>
      <c r="B230" s="15"/>
    </row>
    <row r="231" spans="1:2" ht="12.9" customHeight="1">
      <c r="A231" s="15"/>
      <c r="B231" s="15"/>
    </row>
    <row r="232" spans="1:2" ht="12.9" customHeight="1">
      <c r="A232" s="15"/>
      <c r="B232" s="15"/>
    </row>
    <row r="233" spans="1:2" ht="12.9" customHeight="1">
      <c r="A233" s="15"/>
      <c r="B233" s="15"/>
    </row>
    <row r="234" spans="1:2" ht="12.9" customHeight="1">
      <c r="A234" s="15"/>
      <c r="B234" s="15"/>
    </row>
    <row r="235" spans="1:2" ht="12.9" customHeight="1">
      <c r="A235" s="15"/>
      <c r="B235" s="15"/>
    </row>
    <row r="236" spans="1:2" ht="12.9" customHeight="1">
      <c r="A236" s="15"/>
      <c r="B236" s="15"/>
    </row>
    <row r="237" spans="1:2" ht="12.9" customHeight="1">
      <c r="A237" s="15"/>
      <c r="B237" s="15"/>
    </row>
    <row r="238" spans="1:2" ht="12.9" customHeight="1">
      <c r="A238" s="15"/>
      <c r="B238" s="15"/>
    </row>
    <row r="239" spans="1:2" ht="12.9" customHeight="1">
      <c r="A239" s="15"/>
      <c r="B239" s="15"/>
    </row>
    <row r="240" spans="1:2" ht="12.9" customHeight="1">
      <c r="A240" s="15"/>
      <c r="B240" s="15"/>
    </row>
    <row r="241" spans="1:2" ht="12.9" customHeight="1">
      <c r="A241" s="15"/>
      <c r="B241" s="15"/>
    </row>
    <row r="242" spans="1:2" ht="12.9" customHeight="1">
      <c r="A242" s="15"/>
      <c r="B242" s="15"/>
    </row>
    <row r="243" spans="1:2" ht="12.9" customHeight="1">
      <c r="A243" s="15"/>
      <c r="B243" s="15"/>
    </row>
    <row r="244" spans="1:2" ht="12.9" customHeight="1">
      <c r="A244" s="15"/>
      <c r="B244" s="15"/>
    </row>
    <row r="245" spans="1:2" ht="12.9" customHeight="1">
      <c r="A245" s="15"/>
      <c r="B245" s="15"/>
    </row>
    <row r="246" spans="1:2" ht="12.9" customHeight="1">
      <c r="A246" s="15"/>
      <c r="B246" s="15"/>
    </row>
    <row r="247" spans="1:2" ht="12.9" customHeight="1">
      <c r="A247" s="15"/>
      <c r="B247" s="15"/>
    </row>
    <row r="248" spans="1:2" ht="12.9" customHeight="1">
      <c r="A248" s="15"/>
      <c r="B248" s="15"/>
    </row>
    <row r="249" spans="1:2" ht="12.9" customHeight="1">
      <c r="A249" s="15"/>
      <c r="B249" s="15"/>
    </row>
    <row r="250" spans="1:2" ht="12.9" customHeight="1">
      <c r="A250" s="15"/>
      <c r="B250" s="15"/>
    </row>
    <row r="251" spans="1:2" ht="12.9" customHeight="1">
      <c r="A251" s="15"/>
      <c r="B251" s="15"/>
    </row>
    <row r="252" spans="1:2" ht="12.9" customHeight="1">
      <c r="A252" s="15"/>
      <c r="B252" s="15"/>
    </row>
    <row r="253" spans="1:2" ht="12.9" customHeight="1">
      <c r="A253" s="15"/>
      <c r="B253" s="15"/>
    </row>
    <row r="254" spans="1:2" ht="12.9" customHeight="1">
      <c r="A254" s="15"/>
      <c r="B254" s="15"/>
    </row>
    <row r="255" spans="1:2" ht="12.9" customHeight="1">
      <c r="A255" s="15"/>
      <c r="B255" s="15"/>
    </row>
    <row r="256" spans="1:2" ht="12.9" customHeight="1">
      <c r="A256" s="15"/>
      <c r="B256" s="15"/>
    </row>
    <row r="257" spans="1:2" ht="12.9" customHeight="1">
      <c r="A257" s="15"/>
      <c r="B257" s="15"/>
    </row>
    <row r="258" spans="1:2" ht="12.9" customHeight="1">
      <c r="A258" s="15"/>
      <c r="B258" s="15"/>
    </row>
    <row r="259" spans="1:2" ht="12.9" customHeight="1">
      <c r="A259" s="15"/>
      <c r="B259" s="15"/>
    </row>
    <row r="260" spans="1:2" ht="12.9" customHeight="1">
      <c r="A260" s="15"/>
      <c r="B260" s="15"/>
    </row>
    <row r="261" spans="1:2" ht="12.9" customHeight="1">
      <c r="A261" s="15"/>
      <c r="B261" s="15"/>
    </row>
    <row r="262" spans="1:2" ht="12.9" customHeight="1">
      <c r="A262" s="15"/>
      <c r="B262" s="15"/>
    </row>
    <row r="263" spans="1:2" ht="12.9" customHeight="1">
      <c r="A263" s="15"/>
      <c r="B263" s="15"/>
    </row>
    <row r="264" spans="1:2" ht="12.9" customHeight="1">
      <c r="A264" s="15"/>
      <c r="B264" s="15"/>
    </row>
    <row r="265" spans="1:2" ht="12.9" customHeight="1">
      <c r="A265" s="15"/>
      <c r="B265" s="15"/>
    </row>
    <row r="266" spans="1:2" ht="12.9" customHeight="1">
      <c r="A266" s="15"/>
      <c r="B266" s="15"/>
    </row>
    <row r="267" spans="1:2" ht="12.9" customHeight="1">
      <c r="A267" s="15"/>
      <c r="B267" s="15"/>
    </row>
    <row r="268" spans="1:2" ht="12.9" customHeight="1">
      <c r="A268" s="15"/>
      <c r="B268" s="15"/>
    </row>
    <row r="269" spans="1:2" ht="12.9" customHeight="1">
      <c r="A269" s="15"/>
      <c r="B269" s="15"/>
    </row>
    <row r="270" spans="1:2" ht="12.9" customHeight="1">
      <c r="A270" s="15"/>
      <c r="B270" s="15"/>
    </row>
    <row r="271" spans="1:2" ht="12.9" customHeight="1">
      <c r="A271" s="15"/>
      <c r="B271" s="15"/>
    </row>
    <row r="272" spans="1:2" ht="12.9" customHeight="1">
      <c r="A272" s="15"/>
      <c r="B272" s="15"/>
    </row>
    <row r="273" spans="1:2" ht="12.9" customHeight="1">
      <c r="A273" s="15"/>
      <c r="B273" s="15"/>
    </row>
    <row r="274" spans="1:2" ht="12.9" customHeight="1">
      <c r="A274" s="15"/>
      <c r="B274" s="15"/>
    </row>
    <row r="275" spans="1:2" ht="12.9" customHeight="1">
      <c r="A275" s="15"/>
      <c r="B275" s="15"/>
    </row>
    <row r="276" spans="1:2" ht="12.9" customHeight="1">
      <c r="A276" s="15"/>
      <c r="B276" s="15"/>
    </row>
    <row r="277" spans="1:2" ht="12.9" customHeight="1">
      <c r="A277" s="15"/>
      <c r="B277" s="15"/>
    </row>
    <row r="278" spans="1:2" ht="12.9" customHeight="1">
      <c r="A278" s="15"/>
      <c r="B278" s="15"/>
    </row>
    <row r="279" spans="1:2" ht="12.9" customHeight="1">
      <c r="A279" s="15"/>
      <c r="B279" s="15"/>
    </row>
    <row r="280" spans="1:2" ht="12.9" customHeight="1">
      <c r="A280" s="15"/>
      <c r="B280" s="15"/>
    </row>
    <row r="281" spans="1:2" ht="12.9" customHeight="1">
      <c r="A281" s="15"/>
      <c r="B281" s="15"/>
    </row>
    <row r="282" spans="1:2" ht="12.9" customHeight="1">
      <c r="A282" s="15"/>
      <c r="B282" s="15"/>
    </row>
    <row r="283" spans="1:2" ht="12.9" customHeight="1">
      <c r="A283" s="15"/>
      <c r="B283" s="15"/>
    </row>
    <row r="284" spans="1:2" ht="12.9" customHeight="1">
      <c r="A284" s="15"/>
      <c r="B284" s="15"/>
    </row>
    <row r="285" spans="1:2" ht="12.9" customHeight="1">
      <c r="A285" s="15"/>
      <c r="B285" s="15"/>
    </row>
    <row r="286" spans="1:2" ht="12.9" customHeight="1">
      <c r="A286" s="15"/>
      <c r="B286" s="15"/>
    </row>
    <row r="287" spans="1:2" ht="12.9" customHeight="1">
      <c r="A287" s="15"/>
      <c r="B287" s="15"/>
    </row>
    <row r="288" spans="1:2" ht="12.9" customHeight="1">
      <c r="A288" s="15"/>
      <c r="B288" s="15"/>
    </row>
    <row r="289" spans="1:2" ht="12.9" customHeight="1">
      <c r="A289" s="15"/>
      <c r="B289" s="15"/>
    </row>
    <row r="290" spans="1:2" ht="12.9" customHeight="1">
      <c r="A290" s="15"/>
      <c r="B290" s="15"/>
    </row>
    <row r="291" spans="1:2" ht="12.9" customHeight="1">
      <c r="A291" s="15"/>
      <c r="B291" s="15"/>
    </row>
    <row r="292" spans="1:2" ht="12.9" customHeight="1">
      <c r="A292" s="15"/>
      <c r="B292" s="15"/>
    </row>
    <row r="293" spans="1:2" ht="12.9" customHeight="1">
      <c r="A293" s="15"/>
      <c r="B293" s="15"/>
    </row>
    <row r="294" spans="1:2" ht="12.9" customHeight="1">
      <c r="A294" s="15"/>
      <c r="B294" s="15"/>
    </row>
    <row r="295" spans="1:2" ht="12.9" customHeight="1">
      <c r="A295" s="15"/>
      <c r="B295" s="15"/>
    </row>
    <row r="296" spans="1:2" ht="12.9" customHeight="1">
      <c r="A296" s="15"/>
      <c r="B296" s="15"/>
    </row>
    <row r="297" spans="1:2" ht="12.9" customHeight="1">
      <c r="A297" s="15"/>
      <c r="B297" s="15"/>
    </row>
    <row r="298" spans="1:2" ht="12.9" customHeight="1">
      <c r="A298" s="15"/>
      <c r="B298" s="15"/>
    </row>
    <row r="299" spans="1:2" ht="12.9" customHeight="1">
      <c r="A299" s="15"/>
      <c r="B299" s="15"/>
    </row>
    <row r="300" spans="1:2" ht="12.9" customHeight="1">
      <c r="A300" s="15"/>
      <c r="B300" s="15"/>
    </row>
    <row r="301" spans="1:2" ht="12.9" customHeight="1">
      <c r="A301" s="15"/>
      <c r="B301" s="15"/>
    </row>
    <row r="302" spans="1:2" ht="12.9" customHeight="1">
      <c r="A302" s="15"/>
      <c r="B302" s="15"/>
    </row>
    <row r="303" spans="1:2" ht="12.9" customHeight="1">
      <c r="A303" s="15"/>
      <c r="B303" s="15"/>
    </row>
    <row r="304" spans="1:2" ht="12.9" customHeight="1">
      <c r="A304" s="15"/>
      <c r="B304" s="15"/>
    </row>
    <row r="305" spans="1:2" ht="12.9" customHeight="1">
      <c r="A305" s="15"/>
      <c r="B305" s="15"/>
    </row>
    <row r="306" spans="1:2" ht="12.9" customHeight="1">
      <c r="A306" s="15"/>
      <c r="B306" s="15"/>
    </row>
    <row r="307" spans="1:2" ht="12.9" customHeight="1">
      <c r="A307" s="15"/>
      <c r="B307" s="15"/>
    </row>
    <row r="308" spans="1:2" ht="12.9" customHeight="1">
      <c r="A308" s="15"/>
      <c r="B308" s="15"/>
    </row>
    <row r="309" spans="1:2" ht="12.9" customHeight="1">
      <c r="A309" s="15"/>
      <c r="B309" s="15"/>
    </row>
    <row r="310" spans="1:2" ht="12.9" customHeight="1">
      <c r="A310" s="15"/>
      <c r="B310" s="15"/>
    </row>
    <row r="311" spans="1:2" ht="12.9" customHeight="1">
      <c r="A311" s="15"/>
      <c r="B311" s="15"/>
    </row>
    <row r="312" spans="1:2" ht="12.9" customHeight="1">
      <c r="A312" s="15"/>
      <c r="B312" s="15"/>
    </row>
    <row r="313" spans="1:2" ht="12.9" customHeight="1">
      <c r="A313" s="15"/>
      <c r="B313" s="15"/>
    </row>
    <row r="314" spans="1:2" ht="12.9" customHeight="1">
      <c r="A314" s="15"/>
      <c r="B314" s="15"/>
    </row>
    <row r="315" spans="1:2" ht="12.9" customHeight="1">
      <c r="A315" s="15"/>
      <c r="B315" s="15"/>
    </row>
    <row r="316" spans="1:2" ht="12.9" customHeight="1">
      <c r="A316" s="15"/>
      <c r="B316" s="15"/>
    </row>
    <row r="317" spans="1:2" ht="12.9" customHeight="1">
      <c r="A317" s="15"/>
      <c r="B317" s="15"/>
    </row>
    <row r="318" spans="1:2" ht="12.9" customHeight="1">
      <c r="A318" s="15"/>
      <c r="B318" s="15"/>
    </row>
    <row r="319" spans="1:2" ht="12.9" customHeight="1">
      <c r="A319" s="15"/>
      <c r="B319" s="15"/>
    </row>
    <row r="320" spans="1:2" ht="12.9" customHeight="1">
      <c r="A320" s="15"/>
      <c r="B320" s="15"/>
    </row>
    <row r="321" spans="1:2" ht="12.9" customHeight="1">
      <c r="A321" s="15"/>
      <c r="B321" s="15"/>
    </row>
    <row r="322" spans="1:2" ht="12.9" customHeight="1">
      <c r="A322" s="15"/>
      <c r="B322" s="15"/>
    </row>
    <row r="323" spans="1:2" ht="12.9" customHeight="1">
      <c r="A323" s="15"/>
      <c r="B323" s="15"/>
    </row>
    <row r="324" spans="1:2" ht="12.9" customHeight="1">
      <c r="A324" s="15"/>
      <c r="B324" s="15"/>
    </row>
    <row r="325" spans="1:2" ht="12.9" customHeight="1">
      <c r="A325" s="15"/>
      <c r="B325" s="15"/>
    </row>
    <row r="326" spans="1:2" ht="12.9" customHeight="1">
      <c r="A326" s="15"/>
      <c r="B326" s="15"/>
    </row>
    <row r="327" spans="1:2" ht="12.9" customHeight="1">
      <c r="A327" s="15"/>
      <c r="B327" s="15"/>
    </row>
    <row r="328" spans="1:2" ht="12.9" customHeight="1">
      <c r="A328" s="15"/>
      <c r="B328" s="15"/>
    </row>
    <row r="329" spans="1:2" ht="12.9" customHeight="1">
      <c r="A329" s="15"/>
      <c r="B329" s="15"/>
    </row>
    <row r="330" spans="1:2" ht="12.9" customHeight="1">
      <c r="A330" s="15"/>
      <c r="B330" s="15"/>
    </row>
    <row r="331" spans="1:2" ht="12.9" customHeight="1">
      <c r="A331" s="15"/>
      <c r="B331" s="15"/>
    </row>
    <row r="332" spans="1:2" ht="12.9" customHeight="1">
      <c r="A332" s="15"/>
      <c r="B332" s="15"/>
    </row>
    <row r="333" spans="1:2" ht="12.9" customHeight="1">
      <c r="A333" s="15"/>
      <c r="B333" s="15"/>
    </row>
    <row r="334" spans="1:2" ht="12.9" customHeight="1">
      <c r="A334" s="15"/>
      <c r="B334" s="15"/>
    </row>
    <row r="335" spans="1:2" ht="12.9" customHeight="1">
      <c r="A335" s="15"/>
      <c r="B335" s="15"/>
    </row>
    <row r="336" spans="1:2" ht="12.9" customHeight="1">
      <c r="A336" s="15"/>
      <c r="B336" s="15"/>
    </row>
    <row r="337" spans="1:2" ht="12.9" customHeight="1">
      <c r="A337" s="15"/>
      <c r="B337" s="15"/>
    </row>
    <row r="338" spans="1:2" ht="12.9" customHeight="1">
      <c r="A338" s="15"/>
      <c r="B338" s="15"/>
    </row>
    <row r="339" spans="1:2" ht="12.9" customHeight="1">
      <c r="A339" s="15"/>
      <c r="B339" s="15"/>
    </row>
    <row r="340" spans="1:2" ht="12.9" customHeight="1">
      <c r="A340" s="15"/>
      <c r="B340" s="15"/>
    </row>
    <row r="341" spans="1:2" ht="12.9" customHeight="1">
      <c r="A341" s="15"/>
      <c r="B341" s="15"/>
    </row>
    <row r="342" spans="1:2" ht="12.9" customHeight="1">
      <c r="A342" s="15"/>
      <c r="B342" s="15"/>
    </row>
    <row r="343" spans="1:2" ht="12.9" customHeight="1">
      <c r="A343" s="15"/>
      <c r="B343" s="15"/>
    </row>
    <row r="344" spans="1:2" ht="12.9" customHeight="1">
      <c r="A344" s="15"/>
      <c r="B344" s="15"/>
    </row>
    <row r="345" spans="1:2" ht="12.9" customHeight="1">
      <c r="A345" s="15"/>
      <c r="B345" s="15"/>
    </row>
    <row r="346" spans="1:2" ht="12.9" customHeight="1">
      <c r="A346" s="15"/>
      <c r="B346" s="15"/>
    </row>
    <row r="347" spans="1:2" ht="12.9" customHeight="1">
      <c r="A347" s="15"/>
      <c r="B347" s="15"/>
    </row>
    <row r="348" spans="1:2" ht="12.9" customHeight="1">
      <c r="A348" s="15"/>
      <c r="B348" s="15"/>
    </row>
    <row r="349" spans="1:2" ht="12.9" customHeight="1">
      <c r="A349" s="15"/>
      <c r="B349" s="15"/>
    </row>
    <row r="350" spans="1:2" ht="12.9" customHeight="1">
      <c r="A350" s="15"/>
      <c r="B350" s="15"/>
    </row>
    <row r="351" spans="1:2" ht="12.9" customHeight="1">
      <c r="A351" s="15"/>
      <c r="B351" s="15"/>
    </row>
    <row r="352" spans="1:2" ht="12.9" customHeight="1">
      <c r="A352" s="15"/>
      <c r="B352" s="15"/>
    </row>
    <row r="353" spans="1:2" ht="12.9" customHeight="1">
      <c r="A353" s="15"/>
      <c r="B353" s="15"/>
    </row>
    <row r="354" spans="1:2" ht="12.9" customHeight="1">
      <c r="A354" s="15"/>
      <c r="B354" s="15"/>
    </row>
    <row r="355" spans="1:2" ht="12.9" customHeight="1">
      <c r="A355" s="15"/>
      <c r="B355" s="15"/>
    </row>
    <row r="356" spans="1:2" ht="12.9" customHeight="1">
      <c r="A356" s="15"/>
      <c r="B356" s="15"/>
    </row>
    <row r="357" spans="1:2" ht="12.9" customHeight="1">
      <c r="A357" s="15"/>
      <c r="B357" s="15"/>
    </row>
    <row r="358" spans="1:2" ht="12.9" customHeight="1">
      <c r="A358" s="15"/>
      <c r="B358" s="15"/>
    </row>
    <row r="359" spans="1:2" ht="12.9" customHeight="1">
      <c r="A359" s="15"/>
      <c r="B359" s="15"/>
    </row>
    <row r="360" spans="1:2" ht="12.9" customHeight="1">
      <c r="A360" s="15"/>
      <c r="B360" s="15"/>
    </row>
    <row r="361" spans="1:2" ht="12.9" customHeight="1">
      <c r="A361" s="15"/>
      <c r="B361" s="15"/>
    </row>
    <row r="362" spans="1:2" ht="12.9" customHeight="1">
      <c r="A362" s="15"/>
      <c r="B362" s="15"/>
    </row>
    <row r="363" spans="1:2" ht="12.9" customHeight="1">
      <c r="A363" s="15"/>
      <c r="B363" s="15"/>
    </row>
    <row r="364" spans="1:2" ht="12.9" customHeight="1">
      <c r="A364" s="15"/>
      <c r="B364" s="15"/>
    </row>
    <row r="365" spans="1:2" ht="12.9" customHeight="1">
      <c r="A365" s="15"/>
      <c r="B365" s="15"/>
    </row>
    <row r="366" spans="1:2" ht="12.9" customHeight="1">
      <c r="A366" s="15"/>
      <c r="B366" s="15"/>
    </row>
    <row r="367" spans="1:2" ht="12.9" customHeight="1">
      <c r="A367" s="15"/>
      <c r="B367" s="15"/>
    </row>
    <row r="368" spans="1:2" ht="12.9" customHeight="1">
      <c r="A368" s="15"/>
      <c r="B368" s="15"/>
    </row>
    <row r="369" spans="1:2" ht="12.9" customHeight="1">
      <c r="A369" s="15"/>
      <c r="B369" s="15"/>
    </row>
    <row r="370" spans="1:2" ht="12.9" customHeight="1">
      <c r="A370" s="15"/>
      <c r="B370" s="15"/>
    </row>
    <row r="371" spans="1:2" ht="12.9" customHeight="1">
      <c r="A371" s="15"/>
      <c r="B371" s="15"/>
    </row>
    <row r="372" spans="1:2" ht="12.9" customHeight="1">
      <c r="A372" s="15"/>
      <c r="B372" s="15"/>
    </row>
    <row r="373" spans="1:2" ht="12.9" customHeight="1">
      <c r="A373" s="15"/>
      <c r="B373" s="15"/>
    </row>
    <row r="374" spans="1:2" ht="12.9" customHeight="1">
      <c r="A374" s="15"/>
      <c r="B374" s="15"/>
    </row>
    <row r="375" spans="1:2" ht="12.9" customHeight="1">
      <c r="A375" s="15"/>
      <c r="B375" s="15"/>
    </row>
    <row r="376" spans="1:2" ht="12.9" customHeight="1">
      <c r="A376" s="15"/>
      <c r="B376" s="15"/>
    </row>
    <row r="377" spans="1:2" ht="12.9" customHeight="1">
      <c r="A377" s="15"/>
      <c r="B377" s="15"/>
    </row>
    <row r="378" spans="1:2" ht="12.9" customHeight="1">
      <c r="A378" s="15"/>
      <c r="B378" s="15"/>
    </row>
    <row r="379" spans="1:2" ht="12.9" customHeight="1">
      <c r="A379" s="15"/>
      <c r="B379" s="15"/>
    </row>
    <row r="380" spans="1:2" ht="12.9" customHeight="1">
      <c r="A380" s="15"/>
      <c r="B380" s="15"/>
    </row>
    <row r="381" spans="1:2" ht="12.9" customHeight="1">
      <c r="A381" s="15"/>
      <c r="B381" s="15"/>
    </row>
    <row r="382" spans="1:2" ht="12.9" customHeight="1">
      <c r="A382" s="15"/>
      <c r="B382" s="15"/>
    </row>
    <row r="383" spans="1:2" ht="12.9" customHeight="1">
      <c r="A383" s="15"/>
      <c r="B383" s="15"/>
    </row>
    <row r="384" spans="1:2" ht="12.9" customHeight="1">
      <c r="A384" s="15"/>
      <c r="B384" s="15"/>
    </row>
    <row r="385" spans="1:2" ht="12.9" customHeight="1">
      <c r="A385" s="15"/>
      <c r="B385" s="15"/>
    </row>
    <row r="386" spans="1:2" ht="12.9" customHeight="1">
      <c r="A386" s="15"/>
      <c r="B386" s="15"/>
    </row>
    <row r="387" spans="1:2" ht="12.9" customHeight="1">
      <c r="A387" s="15"/>
      <c r="B387" s="15"/>
    </row>
    <row r="388" spans="1:2" ht="12.9" customHeight="1">
      <c r="A388" s="15"/>
      <c r="B388" s="15"/>
    </row>
    <row r="389" spans="1:2" ht="12.9" customHeight="1">
      <c r="A389" s="15"/>
      <c r="B389" s="15"/>
    </row>
    <row r="390" spans="1:2" ht="12.9" customHeight="1">
      <c r="A390" s="15"/>
      <c r="B390" s="15"/>
    </row>
    <row r="391" spans="1:2" ht="12.9" customHeight="1">
      <c r="A391" s="15"/>
      <c r="B391" s="15"/>
    </row>
    <row r="392" spans="1:2" ht="12.9" customHeight="1">
      <c r="A392" s="15"/>
      <c r="B392" s="15"/>
    </row>
    <row r="393" spans="1:2" ht="12.9" customHeight="1">
      <c r="A393" s="15"/>
      <c r="B393" s="15"/>
    </row>
    <row r="394" spans="1:2" ht="12.9" customHeight="1">
      <c r="A394" s="15"/>
      <c r="B394" s="15"/>
    </row>
    <row r="395" spans="1:2" ht="12.9" customHeight="1">
      <c r="A395" s="15"/>
      <c r="B395" s="15"/>
    </row>
    <row r="396" spans="1:2" ht="12.9" customHeight="1">
      <c r="A396" s="15"/>
      <c r="B396" s="15"/>
    </row>
    <row r="397" spans="1:2" ht="12.9" customHeight="1">
      <c r="A397" s="15"/>
      <c r="B397" s="15"/>
    </row>
    <row r="398" spans="1:2" ht="12.9" customHeight="1">
      <c r="A398" s="15"/>
      <c r="B398" s="15"/>
    </row>
    <row r="399" spans="1:2" ht="12.9" customHeight="1">
      <c r="A399" s="15"/>
      <c r="B399" s="15"/>
    </row>
    <row r="400" spans="1:2" ht="12.9" customHeight="1">
      <c r="A400" s="15"/>
      <c r="B400" s="15"/>
    </row>
    <row r="401" spans="1:2" ht="12.9" customHeight="1">
      <c r="A401" s="15"/>
      <c r="B401" s="15"/>
    </row>
    <row r="402" spans="1:2" ht="12.9" customHeight="1">
      <c r="A402" s="15"/>
      <c r="B402" s="15"/>
    </row>
    <row r="403" spans="1:2" ht="12.9" customHeight="1">
      <c r="A403" s="15"/>
      <c r="B403" s="15"/>
    </row>
    <row r="404" spans="1:2" ht="12.9" customHeight="1">
      <c r="A404" s="15"/>
      <c r="B404" s="15"/>
    </row>
    <row r="405" spans="1:2" ht="12.9" customHeight="1">
      <c r="A405" s="15"/>
      <c r="B405" s="15"/>
    </row>
    <row r="406" spans="1:2" ht="12.9" customHeight="1">
      <c r="A406" s="15"/>
      <c r="B406" s="15"/>
    </row>
    <row r="407" spans="1:2" ht="12.9" customHeight="1">
      <c r="A407" s="15"/>
      <c r="B407" s="15"/>
    </row>
    <row r="408" spans="1:2" ht="12.9" customHeight="1">
      <c r="A408" s="15"/>
      <c r="B408" s="15"/>
    </row>
    <row r="409" spans="1:2" ht="12.9" customHeight="1">
      <c r="A409" s="15"/>
      <c r="B409" s="15"/>
    </row>
    <row r="410" spans="1:2" ht="12.9" customHeight="1">
      <c r="A410" s="15"/>
      <c r="B410" s="15"/>
    </row>
    <row r="411" spans="1:2" ht="12.9" customHeight="1">
      <c r="A411" s="15"/>
      <c r="B411" s="15"/>
    </row>
    <row r="412" spans="1:2" ht="12.9" customHeight="1">
      <c r="A412" s="15"/>
      <c r="B412" s="15"/>
    </row>
    <row r="413" spans="1:2" ht="12.9" customHeight="1">
      <c r="A413" s="15"/>
      <c r="B413" s="15"/>
    </row>
    <row r="414" spans="1:2" ht="12.9" customHeight="1">
      <c r="A414" s="15"/>
      <c r="B414" s="15"/>
    </row>
    <row r="415" spans="1:2" ht="12.9" customHeight="1">
      <c r="A415" s="15"/>
      <c r="B415" s="15"/>
    </row>
    <row r="416" spans="1:2" ht="12.9" customHeight="1">
      <c r="A416" s="15"/>
      <c r="B416" s="15"/>
    </row>
    <row r="417" spans="1:2" ht="12.9" customHeight="1">
      <c r="A417" s="15"/>
      <c r="B417" s="15"/>
    </row>
    <row r="418" spans="1:2" ht="12.9" customHeight="1">
      <c r="A418" s="15"/>
      <c r="B418" s="15"/>
    </row>
    <row r="419" spans="1:2" ht="12.9" customHeight="1">
      <c r="A419" s="15"/>
      <c r="B419" s="15"/>
    </row>
    <row r="420" spans="1:2" ht="12.9" customHeight="1">
      <c r="A420" s="15"/>
      <c r="B420" s="15"/>
    </row>
    <row r="421" spans="1:2" ht="12.9" customHeight="1">
      <c r="A421" s="15"/>
      <c r="B421" s="15"/>
    </row>
    <row r="422" spans="1:2" ht="12.9" customHeight="1">
      <c r="A422" s="15"/>
      <c r="B422" s="15"/>
    </row>
    <row r="423" spans="1:2" ht="12.9" customHeight="1">
      <c r="A423" s="15"/>
      <c r="B423" s="15"/>
    </row>
  </sheetData>
  <mergeCells count="18">
    <mergeCell ref="A15:B15"/>
    <mergeCell ref="A17:B17"/>
    <mergeCell ref="A5:B5"/>
    <mergeCell ref="A9:B9"/>
    <mergeCell ref="A7:B7"/>
    <mergeCell ref="A6:B6"/>
    <mergeCell ref="A11:B11"/>
    <mergeCell ref="A13:B13"/>
    <mergeCell ref="A19:B19"/>
    <mergeCell ref="A31:B31"/>
    <mergeCell ref="A42:B42"/>
    <mergeCell ref="A45:B45"/>
    <mergeCell ref="A33:B33"/>
    <mergeCell ref="A36:B36"/>
    <mergeCell ref="A38:B38"/>
    <mergeCell ref="A40:B40"/>
    <mergeCell ref="A30:B30"/>
    <mergeCell ref="A29:B2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28C1-E1AD-4CD5-A7CB-24A5407E4D03}">
  <dimension ref="A1:G17"/>
  <sheetViews>
    <sheetView view="pageBreakPreview" zoomScale="90" zoomScaleNormal="100" zoomScaleSheetLayoutView="90" workbookViewId="0">
      <selection activeCell="E23" sqref="E23"/>
    </sheetView>
  </sheetViews>
  <sheetFormatPr defaultColWidth="9" defaultRowHeight="13.2"/>
  <cols>
    <col min="1" max="1" width="13.6640625" style="1" customWidth="1"/>
    <col min="2" max="3" width="14.6640625" style="1" customWidth="1"/>
    <col min="4" max="4" width="12.88671875" style="1" customWidth="1"/>
    <col min="5" max="5" width="13.6640625" style="1" customWidth="1"/>
    <col min="6" max="6" width="7.109375" style="1" customWidth="1"/>
    <col min="7" max="7" width="10.6640625" style="1" customWidth="1"/>
    <col min="8" max="16384" width="9" style="1"/>
  </cols>
  <sheetData>
    <row r="1" spans="1:7" ht="15" customHeight="1">
      <c r="A1" s="122" t="s">
        <v>437</v>
      </c>
      <c r="B1" s="15"/>
      <c r="C1" s="15"/>
      <c r="D1" s="15"/>
      <c r="E1" s="15"/>
      <c r="F1" s="15"/>
      <c r="G1" s="16"/>
    </row>
    <row r="2" spans="1:7" ht="9.9" customHeight="1" thickBot="1">
      <c r="A2" s="19"/>
      <c r="B2" s="19"/>
      <c r="C2" s="19"/>
      <c r="D2" s="19"/>
      <c r="E2" s="19"/>
      <c r="F2" s="19"/>
      <c r="G2" s="19"/>
    </row>
    <row r="3" spans="1:7" ht="15" customHeight="1" thickTop="1" thickBot="1">
      <c r="A3" s="560" t="s">
        <v>122</v>
      </c>
      <c r="B3" s="668" t="s">
        <v>438</v>
      </c>
      <c r="C3" s="668" t="s">
        <v>439</v>
      </c>
      <c r="D3" s="668" t="s">
        <v>121</v>
      </c>
      <c r="E3" s="668" t="s">
        <v>440</v>
      </c>
      <c r="F3" s="714" t="s">
        <v>441</v>
      </c>
      <c r="G3" s="668" t="s">
        <v>120</v>
      </c>
    </row>
    <row r="4" spans="1:7" ht="15" customHeight="1" thickTop="1">
      <c r="A4" s="190" t="s">
        <v>19</v>
      </c>
      <c r="B4" s="668"/>
      <c r="C4" s="668"/>
      <c r="D4" s="668"/>
      <c r="E4" s="668"/>
      <c r="F4" s="668"/>
      <c r="G4" s="668"/>
    </row>
    <row r="5" spans="1:7" ht="18" customHeight="1">
      <c r="A5" s="561" t="s">
        <v>352</v>
      </c>
      <c r="B5" s="562">
        <v>53167560122</v>
      </c>
      <c r="C5" s="562">
        <v>51669587174</v>
      </c>
      <c r="D5" s="562">
        <v>213148751</v>
      </c>
      <c r="E5" s="562">
        <v>1299537417</v>
      </c>
      <c r="F5" s="563">
        <v>97.18</v>
      </c>
      <c r="G5" s="564">
        <v>14713220</v>
      </c>
    </row>
    <row r="6" spans="1:7" ht="18" customHeight="1">
      <c r="A6" s="565">
        <v>4</v>
      </c>
      <c r="B6" s="566">
        <v>55120694235</v>
      </c>
      <c r="C6" s="566">
        <v>53545141219</v>
      </c>
      <c r="D6" s="566">
        <v>214902193</v>
      </c>
      <c r="E6" s="566">
        <v>1381525411</v>
      </c>
      <c r="F6" s="563">
        <v>97.14</v>
      </c>
      <c r="G6" s="567">
        <v>20874588</v>
      </c>
    </row>
    <row r="7" spans="1:7" ht="18" customHeight="1">
      <c r="A7" s="568">
        <v>5</v>
      </c>
      <c r="B7" s="569">
        <v>56410590410</v>
      </c>
      <c r="C7" s="569">
        <v>54825528398</v>
      </c>
      <c r="D7" s="569">
        <v>229264286</v>
      </c>
      <c r="E7" s="569">
        <v>1375007775</v>
      </c>
      <c r="F7" s="570">
        <v>97.19</v>
      </c>
      <c r="G7" s="571">
        <v>19210049</v>
      </c>
    </row>
    <row r="8" spans="1:7" ht="15" customHeight="1">
      <c r="A8" s="572"/>
      <c r="B8" s="569"/>
      <c r="C8" s="569"/>
      <c r="D8" s="569"/>
      <c r="E8" s="569"/>
      <c r="F8" s="570"/>
      <c r="G8" s="571"/>
    </row>
    <row r="9" spans="1:7" ht="18" customHeight="1">
      <c r="A9" s="573" t="s">
        <v>119</v>
      </c>
      <c r="B9" s="566">
        <v>50164729568</v>
      </c>
      <c r="C9" s="562">
        <v>48632895370</v>
      </c>
      <c r="D9" s="567">
        <v>222426858</v>
      </c>
      <c r="E9" s="566">
        <v>1328291289</v>
      </c>
      <c r="F9" s="563">
        <v>96.95</v>
      </c>
      <c r="G9" s="567">
        <v>18883949</v>
      </c>
    </row>
    <row r="10" spans="1:7" ht="18" customHeight="1">
      <c r="A10" s="573" t="s">
        <v>118</v>
      </c>
      <c r="B10" s="566">
        <v>636095383</v>
      </c>
      <c r="C10" s="566">
        <v>582867569</v>
      </c>
      <c r="D10" s="566">
        <v>6837428</v>
      </c>
      <c r="E10" s="566">
        <v>46716486</v>
      </c>
      <c r="F10" s="563">
        <v>91.63</v>
      </c>
      <c r="G10" s="567">
        <v>326100</v>
      </c>
    </row>
    <row r="11" spans="1:7" ht="24.75" customHeight="1">
      <c r="A11" s="574" t="s">
        <v>218</v>
      </c>
      <c r="B11" s="575">
        <v>5609765459</v>
      </c>
      <c r="C11" s="575">
        <v>5609765459</v>
      </c>
      <c r="D11" s="576">
        <v>0</v>
      </c>
      <c r="E11" s="577">
        <v>0</v>
      </c>
      <c r="F11" s="578">
        <v>100</v>
      </c>
      <c r="G11" s="577">
        <v>0</v>
      </c>
    </row>
    <row r="12" spans="1:7" ht="15" customHeight="1">
      <c r="A12" s="25" t="s">
        <v>442</v>
      </c>
      <c r="B12" s="25"/>
      <c r="C12" s="25"/>
      <c r="D12" s="25"/>
      <c r="E12" s="25"/>
      <c r="F12" s="25"/>
      <c r="G12" s="16" t="s">
        <v>443</v>
      </c>
    </row>
    <row r="13" spans="1:7">
      <c r="A13" s="10"/>
      <c r="C13" s="10"/>
      <c r="D13" s="10"/>
      <c r="E13" s="10"/>
      <c r="F13" s="10"/>
      <c r="G13" s="16" t="s">
        <v>444</v>
      </c>
    </row>
    <row r="15" spans="1:7" ht="13.5" customHeight="1"/>
    <row r="16" spans="1:7" ht="13.5" customHeight="1"/>
    <row r="17" spans="2:5" ht="13.5" customHeight="1">
      <c r="B17" s="43"/>
      <c r="C17" s="43"/>
      <c r="D17" s="43"/>
      <c r="E17" s="43"/>
    </row>
  </sheetData>
  <mergeCells count="6">
    <mergeCell ref="G3:G4"/>
    <mergeCell ref="B3:B4"/>
    <mergeCell ref="C3:C4"/>
    <mergeCell ref="D3:D4"/>
    <mergeCell ref="E3:E4"/>
    <mergeCell ref="F3:F4"/>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96E6-1DF4-43A9-A636-CD2D558B2698}">
  <dimension ref="A1:W32"/>
  <sheetViews>
    <sheetView view="pageBreakPreview" zoomScaleNormal="100" zoomScaleSheetLayoutView="100" workbookViewId="0">
      <selection activeCell="F29" sqref="F29"/>
    </sheetView>
  </sheetViews>
  <sheetFormatPr defaultColWidth="9" defaultRowHeight="13.2"/>
  <cols>
    <col min="1" max="1" width="11.109375" style="15" customWidth="1"/>
    <col min="2" max="2" width="11.6640625" style="15" customWidth="1"/>
    <col min="3" max="3" width="13.6640625" style="15" customWidth="1"/>
    <col min="4" max="4" width="11.6640625" style="15" customWidth="1"/>
    <col min="5" max="5" width="13.6640625" style="15" customWidth="1"/>
    <col min="6" max="6" width="11.6640625" style="15" customWidth="1"/>
    <col min="7" max="7" width="13.6640625" style="15" customWidth="1"/>
    <col min="8" max="9" width="8.33203125" style="15" customWidth="1"/>
    <col min="10" max="10" width="8.88671875" style="15" customWidth="1"/>
    <col min="11" max="11" width="9.109375" style="15" customWidth="1"/>
    <col min="12" max="16384" width="9" style="15"/>
  </cols>
  <sheetData>
    <row r="1" spans="1:7" ht="15" customHeight="1">
      <c r="A1" s="122" t="s">
        <v>445</v>
      </c>
    </row>
    <row r="2" spans="1:7" s="1" customFormat="1" ht="9.9" customHeight="1" thickBot="1">
      <c r="A2" s="19"/>
      <c r="B2" s="19"/>
      <c r="C2" s="19"/>
      <c r="D2" s="19"/>
      <c r="E2" s="19"/>
      <c r="F2" s="19"/>
      <c r="G2" s="19"/>
    </row>
    <row r="3" spans="1:7" s="30" customFormat="1" ht="16.5" customHeight="1" thickTop="1">
      <c r="A3" s="560" t="s">
        <v>89</v>
      </c>
      <c r="B3" s="660" t="s">
        <v>125</v>
      </c>
      <c r="C3" s="660"/>
      <c r="D3" s="660" t="s">
        <v>124</v>
      </c>
      <c r="E3" s="660"/>
      <c r="F3" s="660" t="s">
        <v>123</v>
      </c>
      <c r="G3" s="660"/>
    </row>
    <row r="4" spans="1:7" s="30" customFormat="1" ht="16.5" customHeight="1">
      <c r="A4" s="579" t="s">
        <v>19</v>
      </c>
      <c r="B4" s="580" t="s">
        <v>128</v>
      </c>
      <c r="C4" s="580" t="s">
        <v>446</v>
      </c>
      <c r="D4" s="580" t="s">
        <v>128</v>
      </c>
      <c r="E4" s="580" t="s">
        <v>446</v>
      </c>
      <c r="F4" s="580" t="s">
        <v>128</v>
      </c>
      <c r="G4" s="580" t="s">
        <v>446</v>
      </c>
    </row>
    <row r="5" spans="1:7" s="30" customFormat="1" ht="18" customHeight="1">
      <c r="A5" s="581" t="s">
        <v>352</v>
      </c>
      <c r="B5" s="529">
        <v>360887</v>
      </c>
      <c r="C5" s="529">
        <v>45656672</v>
      </c>
      <c r="D5" s="529">
        <v>97250</v>
      </c>
      <c r="E5" s="529">
        <v>11884676</v>
      </c>
      <c r="F5" s="529">
        <v>263637</v>
      </c>
      <c r="G5" s="529">
        <v>33771996</v>
      </c>
    </row>
    <row r="6" spans="1:7" s="28" customFormat="1" ht="18" customHeight="1">
      <c r="A6" s="565">
        <v>4</v>
      </c>
      <c r="B6" s="529">
        <v>364011</v>
      </c>
      <c r="C6" s="529">
        <v>47406569</v>
      </c>
      <c r="D6" s="529">
        <v>96803</v>
      </c>
      <c r="E6" s="529">
        <v>12953919</v>
      </c>
      <c r="F6" s="529">
        <v>267208</v>
      </c>
      <c r="G6" s="529">
        <v>34452650</v>
      </c>
    </row>
    <row r="7" spans="1:7" s="28" customFormat="1" ht="18" customHeight="1">
      <c r="A7" s="582">
        <v>5</v>
      </c>
      <c r="B7" s="583">
        <v>369329</v>
      </c>
      <c r="C7" s="583">
        <v>48591200</v>
      </c>
      <c r="D7" s="583">
        <v>95824</v>
      </c>
      <c r="E7" s="583">
        <v>12455496</v>
      </c>
      <c r="F7" s="583">
        <v>273505</v>
      </c>
      <c r="G7" s="583">
        <v>36135704</v>
      </c>
    </row>
    <row r="8" spans="1:7" s="25" customFormat="1" ht="13.5" customHeight="1">
      <c r="A8" s="584" t="s">
        <v>442</v>
      </c>
      <c r="D8" s="585"/>
      <c r="E8" s="586"/>
      <c r="F8" s="586"/>
      <c r="G8" s="230" t="s">
        <v>447</v>
      </c>
    </row>
    <row r="9" spans="1:7" s="31" customFormat="1" ht="13.5" customHeight="1">
      <c r="A9" s="71"/>
      <c r="B9" s="71"/>
      <c r="F9" s="64"/>
      <c r="G9" s="66"/>
    </row>
    <row r="10" spans="1:7" s="31" customFormat="1" ht="13.5" customHeight="1"/>
    <row r="11" spans="1:7" s="31" customFormat="1" ht="13.5" customHeight="1"/>
    <row r="12" spans="1:7" s="31" customFormat="1" ht="13.5" customHeight="1"/>
    <row r="13" spans="1:7" s="31" customFormat="1" ht="13.5" customHeight="1"/>
    <row r="14" spans="1:7" s="31" customFormat="1" ht="13.5" customHeight="1"/>
    <row r="22" spans="13:23">
      <c r="M22" s="70"/>
      <c r="O22" s="70"/>
    </row>
    <row r="23" spans="13:23">
      <c r="N23" s="69"/>
      <c r="O23" s="69"/>
      <c r="R23" s="69"/>
      <c r="W23" s="69"/>
    </row>
    <row r="24" spans="13:23">
      <c r="M24" s="68"/>
      <c r="N24" s="68"/>
      <c r="O24" s="68"/>
      <c r="Q24" s="68"/>
      <c r="R24" s="68"/>
      <c r="S24" s="68"/>
      <c r="T24" s="68"/>
      <c r="W24" s="68"/>
    </row>
    <row r="25" spans="13:23">
      <c r="O25" s="69"/>
      <c r="R25" s="69"/>
      <c r="W25" s="69"/>
    </row>
    <row r="26" spans="13:23">
      <c r="M26" s="68"/>
      <c r="N26" s="68"/>
      <c r="O26" s="68"/>
      <c r="P26" s="68"/>
      <c r="Q26" s="68"/>
      <c r="R26" s="68"/>
      <c r="W26" s="68"/>
    </row>
    <row r="27" spans="13:23">
      <c r="N27" s="69"/>
      <c r="O27" s="69"/>
      <c r="R27" s="69"/>
    </row>
    <row r="28" spans="13:23">
      <c r="M28" s="68"/>
      <c r="N28" s="68"/>
      <c r="O28" s="68"/>
      <c r="P28" s="68"/>
      <c r="R28" s="68"/>
      <c r="S28" s="68"/>
      <c r="T28" s="68"/>
      <c r="V28" s="68"/>
      <c r="W28" s="68"/>
    </row>
    <row r="29" spans="13:23">
      <c r="M29" s="69"/>
      <c r="N29" s="69"/>
      <c r="O29" s="69"/>
      <c r="R29" s="69"/>
      <c r="W29" s="69"/>
    </row>
    <row r="30" spans="13:23">
      <c r="M30" s="68"/>
      <c r="N30" s="68"/>
      <c r="O30" s="68"/>
      <c r="P30" s="68"/>
      <c r="R30" s="68"/>
      <c r="S30" s="68"/>
      <c r="T30" s="68"/>
      <c r="W30" s="68"/>
    </row>
    <row r="32" spans="13:23">
      <c r="M32" s="68"/>
      <c r="N32" s="68"/>
      <c r="O32" s="68"/>
      <c r="P32" s="68"/>
      <c r="Q32" s="68"/>
      <c r="R32" s="68"/>
      <c r="W32" s="68"/>
    </row>
  </sheetData>
  <mergeCells count="3">
    <mergeCell ref="B3:C3"/>
    <mergeCell ref="D3:E3"/>
    <mergeCell ref="F3:G3"/>
  </mergeCells>
  <phoneticPr fontId="3"/>
  <pageMargins left="0.78740157480314965" right="0.78740157480314965"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1663-F58D-45E3-87A5-00E94C22F9BC}">
  <dimension ref="A1:E33"/>
  <sheetViews>
    <sheetView view="pageBreakPreview" topLeftCell="A2" zoomScaleNormal="100" zoomScaleSheetLayoutView="100" workbookViewId="0">
      <selection activeCell="H11" sqref="H11"/>
    </sheetView>
  </sheetViews>
  <sheetFormatPr defaultColWidth="9" defaultRowHeight="13.2"/>
  <cols>
    <col min="1" max="1" width="31.6640625" style="15" customWidth="1"/>
    <col min="2" max="3" width="15.6640625" style="15" customWidth="1"/>
    <col min="4" max="4" width="23.6640625" style="15" customWidth="1"/>
    <col min="5" max="16384" width="9" style="15"/>
  </cols>
  <sheetData>
    <row r="1" spans="1:5" s="1" customFormat="1" ht="15" customHeight="1">
      <c r="A1" s="122" t="s">
        <v>448</v>
      </c>
    </row>
    <row r="2" spans="1:5" ht="12.9" customHeight="1" thickBot="1">
      <c r="A2" s="122"/>
      <c r="D2" s="77" t="s">
        <v>449</v>
      </c>
    </row>
    <row r="3" spans="1:5" s="76" customFormat="1" ht="30" customHeight="1" thickTop="1">
      <c r="A3" s="211" t="s">
        <v>450</v>
      </c>
      <c r="B3" s="210" t="s">
        <v>128</v>
      </c>
      <c r="C3" s="587" t="s">
        <v>451</v>
      </c>
      <c r="D3" s="588" t="s">
        <v>127</v>
      </c>
    </row>
    <row r="4" spans="1:5" s="28" customFormat="1" ht="18" customHeight="1">
      <c r="A4" s="589" t="s">
        <v>126</v>
      </c>
      <c r="B4" s="590">
        <v>351526</v>
      </c>
      <c r="C4" s="590">
        <v>48859169</v>
      </c>
      <c r="D4" s="591">
        <v>138992</v>
      </c>
    </row>
    <row r="5" spans="1:5" s="28" customFormat="1" ht="5.0999999999999996" customHeight="1">
      <c r="A5" s="592"/>
      <c r="B5" s="590"/>
      <c r="C5" s="590"/>
      <c r="D5" s="591"/>
    </row>
    <row r="6" spans="1:5" s="30" customFormat="1" ht="18" customHeight="1">
      <c r="A6" s="184" t="s">
        <v>452</v>
      </c>
      <c r="B6" s="593">
        <v>11314</v>
      </c>
      <c r="C6" s="593">
        <v>31725</v>
      </c>
      <c r="D6" s="594">
        <v>2804</v>
      </c>
    </row>
    <row r="7" spans="1:5" s="30" customFormat="1" ht="18" customHeight="1">
      <c r="A7" s="595" t="s">
        <v>453</v>
      </c>
      <c r="B7" s="593">
        <v>94234</v>
      </c>
      <c r="C7" s="593">
        <v>3231182</v>
      </c>
      <c r="D7" s="594">
        <v>34289</v>
      </c>
    </row>
    <row r="8" spans="1:5" s="30" customFormat="1" ht="18" customHeight="1">
      <c r="A8" s="184" t="s">
        <v>454</v>
      </c>
      <c r="B8" s="593">
        <v>105004</v>
      </c>
      <c r="C8" s="593">
        <v>9249946</v>
      </c>
      <c r="D8" s="594">
        <v>88091</v>
      </c>
    </row>
    <row r="9" spans="1:5" s="30" customFormat="1" ht="18" customHeight="1">
      <c r="A9" s="184" t="s">
        <v>455</v>
      </c>
      <c r="B9" s="593">
        <v>64335</v>
      </c>
      <c r="C9" s="593">
        <v>9442098</v>
      </c>
      <c r="D9" s="594">
        <v>146765</v>
      </c>
    </row>
    <row r="10" spans="1:5" s="30" customFormat="1" ht="18" customHeight="1">
      <c r="A10" s="184" t="s">
        <v>456</v>
      </c>
      <c r="B10" s="593">
        <v>32040</v>
      </c>
      <c r="C10" s="593">
        <v>6611838</v>
      </c>
      <c r="D10" s="594">
        <v>206362</v>
      </c>
    </row>
    <row r="11" spans="1:5" s="30" customFormat="1" ht="18" customHeight="1">
      <c r="A11" s="184" t="s">
        <v>457</v>
      </c>
      <c r="B11" s="593">
        <v>21960</v>
      </c>
      <c r="C11" s="593">
        <v>6109377</v>
      </c>
      <c r="D11" s="594">
        <v>278205</v>
      </c>
    </row>
    <row r="12" spans="1:5" s="30" customFormat="1" ht="18" customHeight="1">
      <c r="A12" s="184" t="s">
        <v>458</v>
      </c>
      <c r="B12" s="593">
        <v>8978</v>
      </c>
      <c r="C12" s="593">
        <v>3314599</v>
      </c>
      <c r="D12" s="594">
        <v>369191</v>
      </c>
    </row>
    <row r="13" spans="1:5" s="30" customFormat="1" ht="18" customHeight="1">
      <c r="A13" s="184" t="s">
        <v>459</v>
      </c>
      <c r="B13" s="593">
        <v>7284</v>
      </c>
      <c r="C13" s="593">
        <v>3592494</v>
      </c>
      <c r="D13" s="594">
        <v>493203</v>
      </c>
    </row>
    <row r="14" spans="1:5" s="30" customFormat="1" ht="18" customHeight="1">
      <c r="A14" s="190" t="s">
        <v>460</v>
      </c>
      <c r="B14" s="596">
        <v>6377</v>
      </c>
      <c r="C14" s="596">
        <v>7275910</v>
      </c>
      <c r="D14" s="596">
        <v>1140961</v>
      </c>
    </row>
    <row r="15" spans="1:5" s="25" customFormat="1" ht="12" customHeight="1">
      <c r="A15" s="25" t="s">
        <v>442</v>
      </c>
      <c r="B15" s="119" t="s">
        <v>461</v>
      </c>
      <c r="C15" s="75"/>
    </row>
    <row r="16" spans="1:5" ht="12" customHeight="1">
      <c r="A16" s="71"/>
      <c r="B16" s="25" t="s">
        <v>462</v>
      </c>
      <c r="C16" s="119"/>
      <c r="D16" s="16"/>
      <c r="E16" s="70"/>
    </row>
    <row r="17" spans="2:3">
      <c r="B17" s="74"/>
      <c r="C17" s="72"/>
    </row>
    <row r="18" spans="2:3">
      <c r="B18" s="73"/>
      <c r="C18" s="72"/>
    </row>
    <row r="19" spans="2:3">
      <c r="B19" s="73"/>
      <c r="C19" s="72"/>
    </row>
    <row r="20" spans="2:3">
      <c r="B20" s="73"/>
      <c r="C20" s="72"/>
    </row>
    <row r="21" spans="2:3">
      <c r="B21" s="73"/>
      <c r="C21" s="72"/>
    </row>
    <row r="22" spans="2:3">
      <c r="B22" s="73"/>
      <c r="C22" s="72"/>
    </row>
    <row r="23" spans="2:3">
      <c r="B23" s="73"/>
    </row>
    <row r="24" spans="2:3">
      <c r="B24" s="73"/>
      <c r="C24" s="72"/>
    </row>
    <row r="25" spans="2:3">
      <c r="B25" s="73"/>
      <c r="C25" s="72"/>
    </row>
    <row r="26" spans="2:3">
      <c r="B26" s="73"/>
      <c r="C26" s="72"/>
    </row>
    <row r="27" spans="2:3">
      <c r="B27" s="73"/>
      <c r="C27" s="72"/>
    </row>
    <row r="28" spans="2:3">
      <c r="B28" s="73"/>
    </row>
    <row r="29" spans="2:3">
      <c r="B29" s="73"/>
    </row>
    <row r="30" spans="2:3">
      <c r="B30" s="73"/>
    </row>
    <row r="31" spans="2:3">
      <c r="B31" s="73"/>
    </row>
    <row r="32" spans="2:3">
      <c r="B32" s="73"/>
      <c r="C32" s="72"/>
    </row>
    <row r="33" spans="2:3">
      <c r="B33" s="73"/>
      <c r="C33" s="72"/>
    </row>
  </sheetData>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E4AC-1E3C-475E-AA70-C2FCC5923E70}">
  <dimension ref="A1:F248"/>
  <sheetViews>
    <sheetView view="pageBreakPreview" zoomScale="70" zoomScaleNormal="85" zoomScaleSheetLayoutView="70" workbookViewId="0">
      <selection activeCell="H22" sqref="H22"/>
    </sheetView>
  </sheetViews>
  <sheetFormatPr defaultColWidth="9" defaultRowHeight="13.2"/>
  <cols>
    <col min="1" max="1" width="18.88671875" style="15" customWidth="1"/>
    <col min="2" max="2" width="23.6640625" style="15" customWidth="1"/>
    <col min="3" max="3" width="1.6640625" style="15" customWidth="1"/>
    <col min="4" max="5" width="20.109375" style="15" customWidth="1"/>
    <col min="6" max="6" width="24" style="15" customWidth="1"/>
    <col min="7" max="16384" width="9" style="15"/>
  </cols>
  <sheetData>
    <row r="1" spans="1:6" s="1" customFormat="1" ht="15" customHeight="1">
      <c r="A1" s="84" t="s">
        <v>463</v>
      </c>
      <c r="B1" s="84"/>
      <c r="C1" s="84"/>
      <c r="D1" s="121"/>
      <c r="F1" s="3"/>
    </row>
    <row r="2" spans="1:6" ht="12.9" customHeight="1" thickBot="1">
      <c r="A2" s="84"/>
      <c r="B2" s="84"/>
      <c r="C2" s="84"/>
      <c r="D2" s="121"/>
      <c r="E2" s="77" t="s">
        <v>449</v>
      </c>
      <c r="F2" s="31"/>
    </row>
    <row r="3" spans="1:6" s="30" customFormat="1" ht="17.25" customHeight="1" thickTop="1" thickBot="1">
      <c r="A3" s="597"/>
      <c r="B3" s="598" t="s">
        <v>89</v>
      </c>
      <c r="C3" s="598"/>
      <c r="D3" s="715" t="s">
        <v>464</v>
      </c>
      <c r="E3" s="715" t="s">
        <v>131</v>
      </c>
    </row>
    <row r="4" spans="1:6" s="30" customFormat="1" ht="12.6" thickTop="1">
      <c r="A4" s="599" t="s">
        <v>465</v>
      </c>
      <c r="B4" s="83"/>
      <c r="C4" s="83"/>
      <c r="D4" s="715"/>
      <c r="E4" s="715"/>
    </row>
    <row r="5" spans="1:6" s="30" customFormat="1" ht="15.75" customHeight="1">
      <c r="A5" s="600" t="s">
        <v>466</v>
      </c>
      <c r="B5" s="601"/>
      <c r="C5" s="601"/>
      <c r="D5" s="212"/>
      <c r="E5" s="602" t="s">
        <v>130</v>
      </c>
      <c r="F5" s="81"/>
    </row>
    <row r="6" spans="1:6" s="30" customFormat="1" ht="18" customHeight="1">
      <c r="A6" s="716" t="s">
        <v>129</v>
      </c>
      <c r="B6" s="716"/>
      <c r="C6" s="603"/>
      <c r="D6" s="604">
        <v>435040</v>
      </c>
      <c r="E6" s="605">
        <v>1296668514</v>
      </c>
      <c r="F6" s="82"/>
    </row>
    <row r="7" spans="1:6" s="30" customFormat="1" ht="5.0999999999999996" customHeight="1">
      <c r="A7" s="717"/>
      <c r="B7" s="717"/>
      <c r="C7" s="606"/>
      <c r="D7" s="607"/>
      <c r="E7" s="606"/>
    </row>
    <row r="8" spans="1:6" s="30" customFormat="1" ht="18" customHeight="1">
      <c r="A8" s="718" t="s">
        <v>467</v>
      </c>
      <c r="B8" s="718"/>
      <c r="C8" s="608"/>
      <c r="D8" s="609">
        <v>98472</v>
      </c>
      <c r="E8" s="609">
        <v>45289799</v>
      </c>
      <c r="F8" s="81"/>
    </row>
    <row r="9" spans="1:6" s="30" customFormat="1" ht="18" customHeight="1">
      <c r="A9" s="718" t="s">
        <v>468</v>
      </c>
      <c r="B9" s="718"/>
      <c r="C9" s="608"/>
      <c r="D9" s="609">
        <v>91974</v>
      </c>
      <c r="E9" s="609">
        <v>139249097</v>
      </c>
      <c r="F9" s="80"/>
    </row>
    <row r="10" spans="1:6" s="30" customFormat="1" ht="18" customHeight="1">
      <c r="A10" s="718" t="s">
        <v>469</v>
      </c>
      <c r="B10" s="718"/>
      <c r="C10" s="608"/>
      <c r="D10" s="609">
        <v>86094</v>
      </c>
      <c r="E10" s="609">
        <v>212842483</v>
      </c>
      <c r="F10" s="79"/>
    </row>
    <row r="11" spans="1:6" s="30" customFormat="1" ht="18" customHeight="1">
      <c r="A11" s="718" t="s">
        <v>470</v>
      </c>
      <c r="B11" s="718"/>
      <c r="C11" s="608"/>
      <c r="D11" s="609">
        <v>59720</v>
      </c>
      <c r="E11" s="609">
        <v>206980769</v>
      </c>
      <c r="F11" s="79"/>
    </row>
    <row r="12" spans="1:6" s="30" customFormat="1" ht="18" customHeight="1">
      <c r="A12" s="718" t="s">
        <v>471</v>
      </c>
      <c r="B12" s="718"/>
      <c r="C12" s="608"/>
      <c r="D12" s="609">
        <v>36141</v>
      </c>
      <c r="E12" s="609">
        <v>160842951</v>
      </c>
      <c r="F12" s="79"/>
    </row>
    <row r="13" spans="1:6" s="30" customFormat="1" ht="18" customHeight="1">
      <c r="A13" s="718" t="s">
        <v>472</v>
      </c>
      <c r="B13" s="718"/>
      <c r="C13" s="608"/>
      <c r="D13" s="609">
        <v>20973</v>
      </c>
      <c r="E13" s="609">
        <v>114585855</v>
      </c>
      <c r="F13" s="79"/>
    </row>
    <row r="14" spans="1:6" s="30" customFormat="1" ht="18" customHeight="1">
      <c r="A14" s="718" t="s">
        <v>473</v>
      </c>
      <c r="B14" s="718"/>
      <c r="C14" s="608"/>
      <c r="D14" s="609">
        <v>13437</v>
      </c>
      <c r="E14" s="609">
        <v>86830845</v>
      </c>
      <c r="F14" s="79"/>
    </row>
    <row r="15" spans="1:6" s="30" customFormat="1" ht="18" customHeight="1">
      <c r="A15" s="718" t="s">
        <v>474</v>
      </c>
      <c r="B15" s="718"/>
      <c r="C15" s="608"/>
      <c r="D15" s="609">
        <v>8340</v>
      </c>
      <c r="E15" s="609">
        <v>62231697</v>
      </c>
      <c r="F15" s="79"/>
    </row>
    <row r="16" spans="1:6" s="30" customFormat="1" ht="18" customHeight="1">
      <c r="A16" s="718" t="s">
        <v>475</v>
      </c>
      <c r="B16" s="718"/>
      <c r="C16" s="608"/>
      <c r="D16" s="609">
        <v>5340</v>
      </c>
      <c r="E16" s="609">
        <v>45299981</v>
      </c>
      <c r="F16" s="79"/>
    </row>
    <row r="17" spans="1:6" s="30" customFormat="1" ht="18" customHeight="1">
      <c r="A17" s="718" t="s">
        <v>476</v>
      </c>
      <c r="B17" s="718"/>
      <c r="C17" s="608"/>
      <c r="D17" s="609">
        <v>3536</v>
      </c>
      <c r="E17" s="609">
        <v>33486722</v>
      </c>
      <c r="F17" s="79"/>
    </row>
    <row r="18" spans="1:6" s="30" customFormat="1" ht="18" customHeight="1">
      <c r="A18" s="718" t="s">
        <v>477</v>
      </c>
      <c r="B18" s="718"/>
      <c r="C18" s="608"/>
      <c r="D18" s="609">
        <v>2537</v>
      </c>
      <c r="E18" s="609">
        <v>26491170</v>
      </c>
      <c r="F18" s="79"/>
    </row>
    <row r="19" spans="1:6" s="30" customFormat="1" ht="18" customHeight="1">
      <c r="A19" s="718" t="s">
        <v>478</v>
      </c>
      <c r="B19" s="718"/>
      <c r="C19" s="608"/>
      <c r="D19" s="609">
        <v>1660</v>
      </c>
      <c r="E19" s="609">
        <v>19015898</v>
      </c>
      <c r="F19" s="79"/>
    </row>
    <row r="20" spans="1:6" s="30" customFormat="1" ht="18" customHeight="1">
      <c r="A20" s="718" t="s">
        <v>479</v>
      </c>
      <c r="B20" s="718"/>
      <c r="C20" s="608"/>
      <c r="D20" s="609">
        <v>1217</v>
      </c>
      <c r="E20" s="609">
        <v>15189547</v>
      </c>
      <c r="F20" s="79"/>
    </row>
    <row r="21" spans="1:6" s="30" customFormat="1" ht="18" customHeight="1">
      <c r="A21" s="718" t="s">
        <v>480</v>
      </c>
      <c r="B21" s="718"/>
      <c r="C21" s="608"/>
      <c r="D21" s="609">
        <v>910</v>
      </c>
      <c r="E21" s="609">
        <v>12265650</v>
      </c>
      <c r="F21" s="79"/>
    </row>
    <row r="22" spans="1:6" s="30" customFormat="1" ht="18" customHeight="1">
      <c r="A22" s="718" t="s">
        <v>481</v>
      </c>
      <c r="B22" s="718"/>
      <c r="C22" s="608"/>
      <c r="D22" s="609">
        <v>658</v>
      </c>
      <c r="E22" s="609">
        <v>9525869</v>
      </c>
      <c r="F22" s="79"/>
    </row>
    <row r="23" spans="1:6" s="30" customFormat="1" ht="18" customHeight="1">
      <c r="A23" s="718" t="s">
        <v>482</v>
      </c>
      <c r="B23" s="718"/>
      <c r="C23" s="608"/>
      <c r="D23" s="609">
        <v>503</v>
      </c>
      <c r="E23" s="609">
        <v>7795483</v>
      </c>
      <c r="F23" s="79"/>
    </row>
    <row r="24" spans="1:6" s="30" customFormat="1" ht="18" customHeight="1">
      <c r="A24" s="718" t="s">
        <v>483</v>
      </c>
      <c r="B24" s="718"/>
      <c r="C24" s="608"/>
      <c r="D24" s="609">
        <v>456</v>
      </c>
      <c r="E24" s="609">
        <v>7499756</v>
      </c>
      <c r="F24" s="79"/>
    </row>
    <row r="25" spans="1:6" s="30" customFormat="1" ht="18" customHeight="1">
      <c r="A25" s="718" t="s">
        <v>484</v>
      </c>
      <c r="B25" s="718"/>
      <c r="C25" s="608"/>
      <c r="D25" s="609">
        <v>395</v>
      </c>
      <c r="E25" s="609">
        <v>6903487</v>
      </c>
      <c r="F25" s="79"/>
    </row>
    <row r="26" spans="1:6" s="30" customFormat="1" ht="18" customHeight="1">
      <c r="A26" s="718" t="s">
        <v>485</v>
      </c>
      <c r="B26" s="718"/>
      <c r="C26" s="608"/>
      <c r="D26" s="609">
        <v>318</v>
      </c>
      <c r="E26" s="609">
        <v>5884156</v>
      </c>
      <c r="F26" s="79"/>
    </row>
    <row r="27" spans="1:6" s="30" customFormat="1" ht="18" customHeight="1">
      <c r="A27" s="718" t="s">
        <v>486</v>
      </c>
      <c r="B27" s="718"/>
      <c r="C27" s="608"/>
      <c r="D27" s="609">
        <v>260</v>
      </c>
      <c r="E27" s="609">
        <v>5073725</v>
      </c>
      <c r="F27" s="79"/>
    </row>
    <row r="28" spans="1:6" s="30" customFormat="1" ht="18" customHeight="1">
      <c r="A28" s="718" t="s">
        <v>487</v>
      </c>
      <c r="B28" s="718"/>
      <c r="C28" s="608"/>
      <c r="D28" s="609">
        <v>210</v>
      </c>
      <c r="E28" s="609">
        <v>4300466</v>
      </c>
      <c r="F28" s="79"/>
    </row>
    <row r="29" spans="1:6" s="30" customFormat="1" ht="18" customHeight="1">
      <c r="A29" s="718" t="s">
        <v>488</v>
      </c>
      <c r="B29" s="718"/>
      <c r="C29" s="608"/>
      <c r="D29" s="609">
        <v>180</v>
      </c>
      <c r="E29" s="609">
        <v>3875949</v>
      </c>
      <c r="F29" s="79"/>
    </row>
    <row r="30" spans="1:6" s="30" customFormat="1" ht="18" customHeight="1">
      <c r="A30" s="718" t="s">
        <v>489</v>
      </c>
      <c r="B30" s="718"/>
      <c r="C30" s="608"/>
      <c r="D30" s="609">
        <v>176</v>
      </c>
      <c r="E30" s="609">
        <v>3944195</v>
      </c>
      <c r="F30" s="79"/>
    </row>
    <row r="31" spans="1:6" s="30" customFormat="1" ht="18" customHeight="1">
      <c r="A31" s="718" t="s">
        <v>490</v>
      </c>
      <c r="B31" s="718"/>
      <c r="C31" s="608"/>
      <c r="D31" s="609">
        <v>151</v>
      </c>
      <c r="E31" s="609">
        <v>3548417</v>
      </c>
      <c r="F31" s="79"/>
    </row>
    <row r="32" spans="1:6" s="30" customFormat="1" ht="18" customHeight="1">
      <c r="A32" s="718" t="s">
        <v>491</v>
      </c>
      <c r="B32" s="718"/>
      <c r="C32" s="608"/>
      <c r="D32" s="609">
        <v>114</v>
      </c>
      <c r="E32" s="609">
        <v>2788019</v>
      </c>
      <c r="F32" s="79"/>
    </row>
    <row r="33" spans="1:6" s="30" customFormat="1" ht="18" customHeight="1">
      <c r="A33" s="718" t="s">
        <v>492</v>
      </c>
      <c r="B33" s="718"/>
      <c r="C33" s="608"/>
      <c r="D33" s="609">
        <v>99</v>
      </c>
      <c r="E33" s="609">
        <v>2524338</v>
      </c>
      <c r="F33" s="79"/>
    </row>
    <row r="34" spans="1:6" s="30" customFormat="1" ht="18" customHeight="1">
      <c r="A34" s="718" t="s">
        <v>493</v>
      </c>
      <c r="B34" s="718"/>
      <c r="C34" s="608"/>
      <c r="D34" s="609">
        <v>83</v>
      </c>
      <c r="E34" s="609">
        <v>2201997</v>
      </c>
      <c r="F34" s="79"/>
    </row>
    <row r="35" spans="1:6" s="30" customFormat="1" ht="18" customHeight="1">
      <c r="A35" s="718" t="s">
        <v>494</v>
      </c>
      <c r="B35" s="718"/>
      <c r="C35" s="608"/>
      <c r="D35" s="609">
        <v>87</v>
      </c>
      <c r="E35" s="609">
        <v>2390064</v>
      </c>
      <c r="F35" s="79"/>
    </row>
    <row r="36" spans="1:6" s="30" customFormat="1" ht="18" customHeight="1">
      <c r="A36" s="718" t="s">
        <v>495</v>
      </c>
      <c r="B36" s="718"/>
      <c r="C36" s="608"/>
      <c r="D36" s="609">
        <v>91</v>
      </c>
      <c r="E36" s="609">
        <v>2589336</v>
      </c>
      <c r="F36" s="79"/>
    </row>
    <row r="37" spans="1:6" s="30" customFormat="1" ht="18" customHeight="1">
      <c r="A37" s="718" t="s">
        <v>496</v>
      </c>
      <c r="B37" s="718"/>
      <c r="C37" s="608"/>
      <c r="D37" s="609">
        <v>64</v>
      </c>
      <c r="E37" s="609">
        <v>1885340</v>
      </c>
    </row>
    <row r="38" spans="1:6" s="30" customFormat="1" ht="18" customHeight="1">
      <c r="A38" s="721" t="s">
        <v>497</v>
      </c>
      <c r="B38" s="721"/>
      <c r="C38" s="610"/>
      <c r="D38" s="611">
        <v>844</v>
      </c>
      <c r="E38" s="611">
        <v>43335453</v>
      </c>
    </row>
    <row r="39" spans="1:6" s="25" customFormat="1" ht="12" customHeight="1">
      <c r="A39" s="10" t="s">
        <v>442</v>
      </c>
      <c r="C39" s="10"/>
      <c r="D39" s="10"/>
      <c r="E39" s="11" t="s">
        <v>498</v>
      </c>
    </row>
    <row r="40" spans="1:6" s="25" customFormat="1" ht="12" customHeight="1">
      <c r="A40" s="120"/>
      <c r="C40" s="120"/>
      <c r="D40" s="121"/>
      <c r="E40" s="11" t="s">
        <v>499</v>
      </c>
    </row>
    <row r="41" spans="1:6" s="25" customFormat="1" ht="13.5" customHeight="1">
      <c r="A41" s="719"/>
      <c r="B41" s="719"/>
      <c r="C41" s="719"/>
      <c r="D41" s="720"/>
      <c r="E41" s="720"/>
    </row>
    <row r="42" spans="1:6" s="25" customFormat="1" ht="10.8">
      <c r="F42" s="31"/>
    </row>
    <row r="43" spans="1:6" s="25" customFormat="1" ht="10.8">
      <c r="F43" s="31"/>
    </row>
    <row r="44" spans="1:6" s="31" customFormat="1" ht="10.8"/>
    <row r="45" spans="1:6" s="31" customFormat="1" ht="10.8"/>
    <row r="46" spans="1:6" s="31" customFormat="1" ht="10.8"/>
    <row r="47" spans="1:6" s="31" customFormat="1" ht="10.8">
      <c r="D47" s="64"/>
    </row>
    <row r="48" spans="1:6" s="31" customFormat="1" ht="10.8"/>
    <row r="49" s="31" customFormat="1" ht="10.8"/>
    <row r="50" s="31" customFormat="1" ht="10.8"/>
    <row r="51" s="31" customFormat="1" ht="10.8"/>
    <row r="52" s="31" customFormat="1" ht="10.8"/>
    <row r="53" s="31" customFormat="1" ht="10.8"/>
    <row r="54" s="31" customFormat="1" ht="10.8"/>
    <row r="55" s="31" customFormat="1" ht="10.8"/>
    <row r="56" s="31" customFormat="1" ht="10.8"/>
    <row r="57" s="31" customFormat="1" ht="10.8"/>
    <row r="58" s="31" customFormat="1" ht="10.8"/>
    <row r="59" s="31" customFormat="1" ht="10.8"/>
    <row r="60" s="31" customFormat="1" ht="10.8"/>
    <row r="61" s="31" customFormat="1" ht="10.8"/>
    <row r="62" s="31" customFormat="1" ht="10.8"/>
    <row r="63" s="31" customFormat="1" ht="10.8"/>
    <row r="64" s="31" customFormat="1" ht="10.8"/>
    <row r="65" s="31" customFormat="1" ht="10.8"/>
    <row r="66" s="31" customFormat="1" ht="10.8"/>
    <row r="67" s="31" customFormat="1" ht="10.8"/>
    <row r="68" s="31" customFormat="1" ht="10.8"/>
    <row r="69" s="31" customFormat="1" ht="10.8"/>
    <row r="70" s="31" customFormat="1" ht="10.8"/>
    <row r="71" s="31" customFormat="1" ht="10.8"/>
    <row r="72" s="31" customFormat="1" ht="10.8"/>
    <row r="73" s="31" customFormat="1" ht="10.8"/>
    <row r="74" s="31" customFormat="1" ht="10.8"/>
    <row r="75" s="31" customFormat="1" ht="10.8"/>
    <row r="76" s="31" customFormat="1" ht="10.8"/>
    <row r="77" s="31" customFormat="1" ht="10.8"/>
    <row r="78" s="31" customFormat="1" ht="10.8"/>
    <row r="79" s="31" customFormat="1" ht="10.8"/>
    <row r="80" s="31" customFormat="1" ht="10.8"/>
    <row r="81" s="31" customFormat="1" ht="10.8"/>
    <row r="82" s="31" customFormat="1" ht="10.8"/>
    <row r="83" s="31" customFormat="1" ht="10.8"/>
    <row r="84" s="31" customFormat="1" ht="10.8"/>
    <row r="85" s="31" customFormat="1" ht="10.8"/>
    <row r="86" s="31" customFormat="1" ht="10.8"/>
    <row r="87" s="31" customFormat="1" ht="10.8"/>
    <row r="88" s="31" customFormat="1" ht="10.8"/>
    <row r="89" s="31" customFormat="1" ht="10.8"/>
    <row r="90" s="31" customFormat="1" ht="10.8"/>
    <row r="91" s="31" customFormat="1" ht="10.8"/>
    <row r="92" s="31" customFormat="1" ht="10.8"/>
    <row r="93" s="31" customFormat="1" ht="10.8"/>
    <row r="94" s="31" customFormat="1" ht="10.8"/>
    <row r="95" s="31" customFormat="1" ht="10.8"/>
    <row r="96" s="31" customFormat="1" ht="10.8"/>
    <row r="97" s="31" customFormat="1" ht="10.8"/>
    <row r="98" s="31" customFormat="1" ht="10.8"/>
    <row r="99" s="31" customFormat="1" ht="10.8"/>
    <row r="100" s="31" customFormat="1" ht="10.8"/>
    <row r="101" s="31" customFormat="1" ht="10.8"/>
    <row r="102" s="31" customFormat="1" ht="10.8"/>
    <row r="103" s="31" customFormat="1" ht="10.8"/>
    <row r="104" s="31" customFormat="1" ht="10.8"/>
    <row r="105" s="31" customFormat="1" ht="10.8"/>
    <row r="106" s="31" customFormat="1" ht="10.8"/>
    <row r="107" s="31" customFormat="1" ht="10.8"/>
    <row r="108" s="31" customFormat="1" ht="10.8"/>
    <row r="109" s="31" customFormat="1" ht="10.8"/>
    <row r="110" s="31" customFormat="1" ht="10.8"/>
    <row r="111" s="31" customFormat="1" ht="10.8"/>
    <row r="112" s="31" customFormat="1" ht="10.8"/>
    <row r="113" s="31" customFormat="1" ht="10.8"/>
    <row r="114" s="31" customFormat="1" ht="10.8"/>
    <row r="115" s="31" customFormat="1" ht="10.8"/>
    <row r="116" s="31" customFormat="1" ht="10.8"/>
    <row r="117" s="31" customFormat="1" ht="10.8"/>
    <row r="118" s="31" customFormat="1" ht="10.8"/>
    <row r="119" s="31" customFormat="1" ht="10.8"/>
    <row r="120" s="31" customFormat="1" ht="10.8"/>
    <row r="121" s="31" customFormat="1" ht="10.8"/>
    <row r="122" s="31" customFormat="1" ht="10.8"/>
    <row r="123" s="31" customFormat="1" ht="10.8"/>
    <row r="124" s="31" customFormat="1" ht="10.8"/>
    <row r="125" s="31" customFormat="1" ht="10.8"/>
    <row r="126" s="31" customFormat="1" ht="10.8"/>
    <row r="127" s="31" customFormat="1" ht="10.8"/>
    <row r="128" s="31" customFormat="1" ht="10.8"/>
    <row r="129" s="31" customFormat="1" ht="10.8"/>
    <row r="130" s="31" customFormat="1" ht="10.8"/>
    <row r="131" s="31" customFormat="1" ht="10.8"/>
    <row r="132" s="31" customFormat="1" ht="10.8"/>
    <row r="133" s="31" customFormat="1" ht="10.8"/>
    <row r="134" s="31" customFormat="1" ht="10.8"/>
    <row r="135" s="31" customFormat="1" ht="10.8"/>
    <row r="136" s="31" customFormat="1" ht="10.8"/>
    <row r="137" s="31" customFormat="1" ht="10.8"/>
    <row r="138" s="31" customFormat="1" ht="10.8"/>
    <row r="139" s="31" customFormat="1" ht="10.8"/>
    <row r="140" s="31" customFormat="1" ht="10.8"/>
    <row r="141" s="31" customFormat="1" ht="10.8"/>
    <row r="142" s="31" customFormat="1" ht="10.8"/>
    <row r="143" s="31" customFormat="1" ht="10.8"/>
    <row r="144" s="31" customFormat="1" ht="10.8"/>
    <row r="145" s="31" customFormat="1" ht="10.8"/>
    <row r="146" s="31" customFormat="1" ht="10.8"/>
    <row r="147" s="31" customFormat="1" ht="10.8"/>
    <row r="148" s="31" customFormat="1" ht="10.8"/>
    <row r="149" s="31" customFormat="1" ht="10.8"/>
    <row r="150" s="31" customFormat="1" ht="10.8"/>
    <row r="151" s="31" customFormat="1" ht="10.8"/>
    <row r="152" s="31" customFormat="1" ht="10.8"/>
    <row r="153" s="31" customFormat="1" ht="10.8"/>
    <row r="154" s="31" customFormat="1" ht="10.8"/>
    <row r="155" s="31" customFormat="1" ht="10.8"/>
    <row r="156" s="31" customFormat="1" ht="10.8"/>
    <row r="157" s="31" customFormat="1" ht="10.8"/>
    <row r="158" s="31" customFormat="1" ht="10.8"/>
    <row r="159" s="31" customFormat="1" ht="10.8"/>
    <row r="160" s="31" customFormat="1" ht="10.8"/>
    <row r="161" s="31" customFormat="1" ht="10.8"/>
    <row r="162" s="31" customFormat="1" ht="10.8"/>
    <row r="163" s="31" customFormat="1" ht="10.8"/>
    <row r="164" s="31" customFormat="1" ht="10.8"/>
    <row r="165" s="31" customFormat="1" ht="10.8"/>
    <row r="166" s="31" customFormat="1" ht="10.8"/>
    <row r="167" s="31" customFormat="1" ht="10.8"/>
    <row r="168" s="31" customFormat="1" ht="10.8"/>
    <row r="169" s="31" customFormat="1" ht="10.8"/>
    <row r="170" s="31" customFormat="1" ht="10.8"/>
    <row r="171" s="31" customFormat="1" ht="10.8"/>
    <row r="172" s="31" customFormat="1" ht="10.8"/>
    <row r="173" s="31" customFormat="1" ht="10.8"/>
    <row r="174" s="31" customFormat="1" ht="10.8"/>
    <row r="175" s="31" customFormat="1" ht="10.8"/>
    <row r="176" s="31" customFormat="1" ht="10.8"/>
    <row r="177" s="31" customFormat="1" ht="10.8"/>
    <row r="178" s="31" customFormat="1" ht="10.8"/>
    <row r="179" s="31" customFormat="1" ht="10.8"/>
    <row r="180" s="31" customFormat="1" ht="10.8"/>
    <row r="181" s="31" customFormat="1" ht="10.8"/>
    <row r="182" s="31" customFormat="1" ht="10.8"/>
    <row r="183" s="31" customFormat="1" ht="10.8"/>
    <row r="184" s="31" customFormat="1" ht="10.8"/>
    <row r="185" s="31" customFormat="1" ht="10.8"/>
    <row r="186" s="31" customFormat="1" ht="10.8"/>
    <row r="187" s="31" customFormat="1" ht="10.8"/>
    <row r="188" s="31" customFormat="1" ht="10.8"/>
    <row r="189" s="31" customFormat="1" ht="10.8"/>
    <row r="190" s="31" customFormat="1" ht="10.8"/>
    <row r="191" s="31" customFormat="1" ht="10.8"/>
    <row r="192" s="31" customFormat="1" ht="10.8"/>
    <row r="193" s="31" customFormat="1" ht="10.8"/>
    <row r="194" s="31" customFormat="1" ht="10.8"/>
    <row r="195" s="31" customFormat="1" ht="10.8"/>
    <row r="196" s="31" customFormat="1" ht="10.8"/>
    <row r="197" s="31" customFormat="1" ht="10.8"/>
    <row r="198" s="31" customFormat="1" ht="10.8"/>
    <row r="199" s="31" customFormat="1" ht="10.8"/>
    <row r="200" s="31" customFormat="1" ht="10.8"/>
    <row r="201" s="31" customFormat="1" ht="10.8"/>
    <row r="202" s="31" customFormat="1" ht="10.8"/>
    <row r="203" s="31" customFormat="1" ht="10.8"/>
    <row r="204" s="31" customFormat="1" ht="10.8"/>
    <row r="205" s="31" customFormat="1" ht="10.8"/>
    <row r="206" s="31" customFormat="1" ht="10.8"/>
    <row r="207" s="31" customFormat="1" ht="10.8"/>
    <row r="208" s="31" customFormat="1" ht="10.8"/>
    <row r="209" s="31" customFormat="1" ht="10.8"/>
    <row r="210" s="31" customFormat="1" ht="10.8"/>
    <row r="211" s="31" customFormat="1" ht="10.8"/>
    <row r="212" s="31" customFormat="1" ht="10.8"/>
    <row r="213" s="31" customFormat="1" ht="10.8"/>
    <row r="214" s="31" customFormat="1" ht="10.8"/>
    <row r="215" s="31" customFormat="1" ht="10.8"/>
    <row r="216" s="31" customFormat="1" ht="10.8"/>
    <row r="217" s="31" customFormat="1" ht="10.8"/>
    <row r="218" s="31" customFormat="1" ht="10.8"/>
    <row r="219" s="31" customFormat="1" ht="10.8"/>
    <row r="220" s="31" customFormat="1" ht="10.8"/>
    <row r="221" s="31" customFormat="1" ht="10.8"/>
    <row r="222" s="31" customFormat="1" ht="10.8"/>
    <row r="223" s="31" customFormat="1" ht="10.8"/>
    <row r="224" s="31" customFormat="1" ht="10.8"/>
    <row r="225" s="31" customFormat="1" ht="10.8"/>
    <row r="226" s="31" customFormat="1" ht="10.8"/>
    <row r="227" s="31" customFormat="1" ht="10.8"/>
    <row r="228" s="31" customFormat="1" ht="10.8"/>
    <row r="229" s="31" customFormat="1" ht="10.8"/>
    <row r="230" s="31" customFormat="1" ht="10.8"/>
    <row r="231" s="31" customFormat="1" ht="10.8"/>
    <row r="232" s="31" customFormat="1" ht="10.8"/>
    <row r="233" s="31" customFormat="1" ht="10.8"/>
    <row r="234" s="31" customFormat="1" ht="10.8"/>
    <row r="235" s="31" customFormat="1" ht="10.8"/>
    <row r="236" s="31" customFormat="1" ht="10.8"/>
    <row r="237" s="31" customFormat="1" ht="10.8"/>
    <row r="238" s="31" customFormat="1" ht="10.8"/>
    <row r="239" s="31" customFormat="1" ht="10.8"/>
    <row r="240" s="31" customFormat="1" ht="10.8"/>
    <row r="241" spans="6:6" s="31" customFormat="1" ht="10.8"/>
    <row r="242" spans="6:6" s="31" customFormat="1" ht="10.8"/>
    <row r="243" spans="6:6" s="31" customFormat="1" ht="10.8"/>
    <row r="244" spans="6:6" s="31" customFormat="1" ht="10.8"/>
    <row r="245" spans="6:6" s="31" customFormat="1" ht="10.8"/>
    <row r="246" spans="6:6" s="31" customFormat="1" ht="10.8"/>
    <row r="247" spans="6:6" s="31" customFormat="1">
      <c r="F247" s="15"/>
    </row>
    <row r="248" spans="6:6" s="31" customFormat="1">
      <c r="F248" s="15"/>
    </row>
  </sheetData>
  <mergeCells count="36">
    <mergeCell ref="A41:E41"/>
    <mergeCell ref="A28:B28"/>
    <mergeCell ref="A29:B29"/>
    <mergeCell ref="A30:B30"/>
    <mergeCell ref="A31:B31"/>
    <mergeCell ref="A32:B32"/>
    <mergeCell ref="A38:B38"/>
    <mergeCell ref="A33:B33"/>
    <mergeCell ref="A34:B34"/>
    <mergeCell ref="A35:B35"/>
    <mergeCell ref="A36:B36"/>
    <mergeCell ref="A37:B37"/>
    <mergeCell ref="A14:B14"/>
    <mergeCell ref="A27:B27"/>
    <mergeCell ref="A16:B16"/>
    <mergeCell ref="A17:B17"/>
    <mergeCell ref="A18:B18"/>
    <mergeCell ref="A19:B19"/>
    <mergeCell ref="A20:B20"/>
    <mergeCell ref="A21:B21"/>
    <mergeCell ref="A22:B22"/>
    <mergeCell ref="A15:B15"/>
    <mergeCell ref="A23:B23"/>
    <mergeCell ref="A24:B24"/>
    <mergeCell ref="A25:B25"/>
    <mergeCell ref="A26:B26"/>
    <mergeCell ref="E3:E4"/>
    <mergeCell ref="A6:B6"/>
    <mergeCell ref="A7:B7"/>
    <mergeCell ref="A8:B8"/>
    <mergeCell ref="A13:B13"/>
    <mergeCell ref="A9:B9"/>
    <mergeCell ref="A10:B10"/>
    <mergeCell ref="A11:B11"/>
    <mergeCell ref="A12:B12"/>
    <mergeCell ref="D3:D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DEA8-4DB0-47A9-9B4C-40089A990162}">
  <dimension ref="A1:J14"/>
  <sheetViews>
    <sheetView view="pageBreakPreview" zoomScaleNormal="100" zoomScaleSheetLayoutView="100" workbookViewId="0">
      <selection activeCell="G17" sqref="G17"/>
    </sheetView>
  </sheetViews>
  <sheetFormatPr defaultColWidth="9" defaultRowHeight="13.2"/>
  <cols>
    <col min="1" max="1" width="10.6640625" style="15" customWidth="1"/>
    <col min="2" max="3" width="14.88671875" style="15" customWidth="1"/>
    <col min="4" max="7" width="12.109375" style="15" customWidth="1"/>
    <col min="8" max="16384" width="9" style="15"/>
  </cols>
  <sheetData>
    <row r="1" spans="1:10" ht="15" customHeight="1">
      <c r="A1" s="122" t="s">
        <v>500</v>
      </c>
      <c r="G1" s="85"/>
    </row>
    <row r="2" spans="1:10" s="1" customFormat="1" ht="9.9" customHeight="1" thickBot="1">
      <c r="A2" s="19"/>
      <c r="B2" s="19"/>
      <c r="C2" s="19"/>
      <c r="D2" s="19"/>
      <c r="E2" s="19"/>
      <c r="F2" s="19"/>
      <c r="G2" s="19"/>
    </row>
    <row r="3" spans="1:10" s="30" customFormat="1" ht="16.5" customHeight="1" thickTop="1">
      <c r="A3" s="179" t="s">
        <v>133</v>
      </c>
      <c r="B3" s="722" t="s">
        <v>501</v>
      </c>
      <c r="C3" s="722"/>
      <c r="D3" s="668" t="s">
        <v>502</v>
      </c>
      <c r="E3" s="668"/>
      <c r="F3" s="660" t="s">
        <v>503</v>
      </c>
      <c r="G3" s="660"/>
    </row>
    <row r="4" spans="1:10" s="30" customFormat="1" ht="16.5" customHeight="1">
      <c r="A4" s="190" t="s">
        <v>19</v>
      </c>
      <c r="B4" s="612" t="s">
        <v>504</v>
      </c>
      <c r="C4" s="612" t="s">
        <v>132</v>
      </c>
      <c r="D4" s="612" t="s">
        <v>504</v>
      </c>
      <c r="E4" s="612" t="s">
        <v>132</v>
      </c>
      <c r="F4" s="612" t="s">
        <v>504</v>
      </c>
      <c r="G4" s="580" t="s">
        <v>132</v>
      </c>
    </row>
    <row r="5" spans="1:10" s="28" customFormat="1" ht="18" customHeight="1">
      <c r="A5" s="565" t="s">
        <v>352</v>
      </c>
      <c r="B5" s="613">
        <v>76855164</v>
      </c>
      <c r="C5" s="613">
        <v>75705508</v>
      </c>
      <c r="D5" s="613">
        <v>184656</v>
      </c>
      <c r="E5" s="613">
        <v>109559</v>
      </c>
      <c r="F5" s="613">
        <v>336156</v>
      </c>
      <c r="G5" s="613">
        <v>212034</v>
      </c>
    </row>
    <row r="6" spans="1:10" s="28" customFormat="1" ht="18" customHeight="1">
      <c r="A6" s="565">
        <v>4</v>
      </c>
      <c r="B6" s="614">
        <v>80981880</v>
      </c>
      <c r="C6" s="614">
        <v>78930265</v>
      </c>
      <c r="D6" s="614">
        <v>195590</v>
      </c>
      <c r="E6" s="614">
        <v>114540</v>
      </c>
      <c r="F6" s="614">
        <v>354470</v>
      </c>
      <c r="G6" s="613">
        <v>219298</v>
      </c>
    </row>
    <row r="7" spans="1:10" s="28" customFormat="1" ht="18" customHeight="1">
      <c r="A7" s="582">
        <v>5</v>
      </c>
      <c r="B7" s="615">
        <v>83103590</v>
      </c>
      <c r="C7" s="615">
        <v>81230170</v>
      </c>
      <c r="D7" s="615">
        <v>199743</v>
      </c>
      <c r="E7" s="615">
        <v>117705</v>
      </c>
      <c r="F7" s="615">
        <v>358383</v>
      </c>
      <c r="G7" s="616">
        <v>222194</v>
      </c>
    </row>
    <row r="8" spans="1:10" s="25" customFormat="1" ht="13.5" customHeight="1">
      <c r="A8" s="25" t="s">
        <v>442</v>
      </c>
      <c r="C8" s="25" t="s">
        <v>505</v>
      </c>
      <c r="D8" s="119"/>
      <c r="G8" s="16"/>
    </row>
    <row r="9" spans="1:10" s="25" customFormat="1" ht="13.5" customHeight="1">
      <c r="C9" s="25" t="s">
        <v>506</v>
      </c>
      <c r="D9" s="119"/>
      <c r="G9" s="16"/>
    </row>
    <row r="10" spans="1:10" s="25" customFormat="1" ht="13.5" customHeight="1">
      <c r="G10" s="16"/>
      <c r="H10" s="15"/>
      <c r="I10" s="15"/>
      <c r="J10" s="15"/>
    </row>
    <row r="11" spans="1:10" ht="13.5" customHeight="1"/>
    <row r="12" spans="1:10" ht="13.5" customHeight="1"/>
    <row r="13" spans="1:10" ht="13.5" customHeight="1"/>
    <row r="14" spans="1:10" ht="13.5" customHeight="1"/>
  </sheetData>
  <mergeCells count="3">
    <mergeCell ref="D3:E3"/>
    <mergeCell ref="B3:C3"/>
    <mergeCell ref="F3:G3"/>
  </mergeCells>
  <phoneticPr fontId="3"/>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9AA6-C84A-460B-AF84-2F3909642F52}">
  <dimension ref="A1:E11"/>
  <sheetViews>
    <sheetView view="pageBreakPreview" zoomScaleNormal="100" zoomScaleSheetLayoutView="100" workbookViewId="0">
      <selection activeCell="C5" sqref="C5"/>
    </sheetView>
  </sheetViews>
  <sheetFormatPr defaultColWidth="9" defaultRowHeight="13.2"/>
  <cols>
    <col min="1" max="5" width="17.6640625" style="1" customWidth="1"/>
    <col min="6" max="16384" width="9" style="1"/>
  </cols>
  <sheetData>
    <row r="1" spans="1:5" ht="15" customHeight="1">
      <c r="A1" s="122" t="s">
        <v>507</v>
      </c>
      <c r="E1" s="16"/>
    </row>
    <row r="2" spans="1:5" ht="12.9" customHeight="1" thickBot="1">
      <c r="E2" s="16"/>
    </row>
    <row r="3" spans="1:5" s="35" customFormat="1" ht="15" customHeight="1" thickTop="1" thickBot="1">
      <c r="A3" s="179" t="s">
        <v>89</v>
      </c>
      <c r="B3" s="668" t="s">
        <v>508</v>
      </c>
      <c r="C3" s="723" t="s">
        <v>509</v>
      </c>
      <c r="D3" s="668" t="s">
        <v>510</v>
      </c>
      <c r="E3" s="714" t="s">
        <v>511</v>
      </c>
    </row>
    <row r="4" spans="1:5" s="35" customFormat="1" ht="15" customHeight="1" thickTop="1">
      <c r="A4" s="190" t="s">
        <v>19</v>
      </c>
      <c r="B4" s="668"/>
      <c r="C4" s="723"/>
      <c r="D4" s="668"/>
      <c r="E4" s="714"/>
    </row>
    <row r="5" spans="1:5" s="35" customFormat="1" ht="19.5" customHeight="1">
      <c r="A5" s="174" t="s">
        <v>352</v>
      </c>
      <c r="B5" s="617">
        <v>51186</v>
      </c>
      <c r="C5" s="618">
        <v>44.1</v>
      </c>
      <c r="D5" s="617">
        <v>3576554</v>
      </c>
      <c r="E5" s="619">
        <v>31.7</v>
      </c>
    </row>
    <row r="6" spans="1:5" s="35" customFormat="1" ht="20.100000000000001" customHeight="1">
      <c r="A6" s="174">
        <v>4</v>
      </c>
      <c r="B6" s="617">
        <v>51521</v>
      </c>
      <c r="C6" s="618">
        <v>45.9</v>
      </c>
      <c r="D6" s="617">
        <v>3790720</v>
      </c>
      <c r="E6" s="619">
        <v>30.7</v>
      </c>
    </row>
    <row r="7" spans="1:5" s="35" customFormat="1" ht="20.100000000000001" customHeight="1">
      <c r="A7" s="175">
        <v>5</v>
      </c>
      <c r="B7" s="620">
        <v>52349</v>
      </c>
      <c r="C7" s="621">
        <v>50.6</v>
      </c>
      <c r="D7" s="620">
        <v>3744083</v>
      </c>
      <c r="E7" s="622">
        <v>31.6</v>
      </c>
    </row>
    <row r="8" spans="1:5" ht="12" customHeight="1">
      <c r="A8" s="25" t="s">
        <v>512</v>
      </c>
      <c r="B8" s="87" t="s">
        <v>513</v>
      </c>
      <c r="C8" s="86"/>
      <c r="D8" s="86"/>
      <c r="E8" s="86"/>
    </row>
    <row r="9" spans="1:5">
      <c r="B9" s="87" t="s">
        <v>514</v>
      </c>
      <c r="C9" s="86"/>
      <c r="D9" s="86"/>
    </row>
    <row r="10" spans="1:5">
      <c r="E10" s="16"/>
    </row>
    <row r="11" spans="1:5">
      <c r="E11" s="16"/>
    </row>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cellComments="asDisplayed"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F58B-5D8C-44D0-9F57-5ADBF00A7DBF}">
  <dimension ref="A1:F14"/>
  <sheetViews>
    <sheetView view="pageBreakPreview" zoomScaleNormal="100" zoomScaleSheetLayoutView="100" workbookViewId="0">
      <selection activeCell="H29" sqref="H29"/>
    </sheetView>
  </sheetViews>
  <sheetFormatPr defaultColWidth="9" defaultRowHeight="13.2"/>
  <cols>
    <col min="1" max="6" width="14.88671875" style="1" customWidth="1"/>
    <col min="7" max="16384" width="9" style="1"/>
  </cols>
  <sheetData>
    <row r="1" spans="1:6" ht="15" customHeight="1">
      <c r="A1" s="122" t="s">
        <v>515</v>
      </c>
      <c r="B1" s="92"/>
      <c r="C1" s="92"/>
      <c r="D1" s="91"/>
      <c r="E1" s="91"/>
      <c r="F1" s="91"/>
    </row>
    <row r="2" spans="1:6" ht="9.9" customHeight="1" thickBot="1">
      <c r="A2" s="122"/>
      <c r="B2" s="64"/>
      <c r="C2" s="64"/>
      <c r="D2" s="66"/>
      <c r="E2" s="66"/>
      <c r="F2" s="66"/>
    </row>
    <row r="3" spans="1:6" s="35" customFormat="1" ht="18.75" customHeight="1" thickTop="1" thickBot="1">
      <c r="A3" s="179" t="s">
        <v>89</v>
      </c>
      <c r="B3" s="724" t="s">
        <v>516</v>
      </c>
      <c r="C3" s="724"/>
      <c r="D3" s="727" t="s">
        <v>517</v>
      </c>
      <c r="E3" s="727"/>
      <c r="F3" s="727"/>
    </row>
    <row r="4" spans="1:6" s="35" customFormat="1" ht="19.5" customHeight="1" thickTop="1">
      <c r="A4" s="184"/>
      <c r="B4" s="724"/>
      <c r="C4" s="724"/>
      <c r="D4" s="725" t="s">
        <v>518</v>
      </c>
      <c r="E4" s="726" t="s">
        <v>519</v>
      </c>
      <c r="F4" s="726"/>
    </row>
    <row r="5" spans="1:6" s="35" customFormat="1" ht="18" customHeight="1">
      <c r="A5" s="579" t="s">
        <v>520</v>
      </c>
      <c r="B5" s="623" t="s">
        <v>521</v>
      </c>
      <c r="C5" s="624" t="s">
        <v>522</v>
      </c>
      <c r="D5" s="725"/>
      <c r="E5" s="623" t="s">
        <v>523</v>
      </c>
      <c r="F5" s="625" t="s">
        <v>524</v>
      </c>
    </row>
    <row r="6" spans="1:6" s="35" customFormat="1" ht="20.100000000000001" customHeight="1">
      <c r="A6" s="174" t="s">
        <v>352</v>
      </c>
      <c r="B6" s="520">
        <v>527928</v>
      </c>
      <c r="C6" s="626">
        <v>2307</v>
      </c>
      <c r="D6" s="627">
        <v>193522</v>
      </c>
      <c r="E6" s="548">
        <v>181982</v>
      </c>
      <c r="F6" s="520">
        <v>11540</v>
      </c>
    </row>
    <row r="7" spans="1:6" s="35" customFormat="1" ht="20.100000000000001" customHeight="1">
      <c r="A7" s="174">
        <v>4</v>
      </c>
      <c r="B7" s="520">
        <v>602200</v>
      </c>
      <c r="C7" s="626">
        <v>2369</v>
      </c>
      <c r="D7" s="627">
        <v>302885</v>
      </c>
      <c r="E7" s="548">
        <v>234858</v>
      </c>
      <c r="F7" s="520">
        <v>68027</v>
      </c>
    </row>
    <row r="8" spans="1:6" s="35" customFormat="1" ht="20.100000000000001" customHeight="1">
      <c r="A8" s="175">
        <v>5</v>
      </c>
      <c r="B8" s="628">
        <v>659899</v>
      </c>
      <c r="C8" s="629">
        <v>2801</v>
      </c>
      <c r="D8" s="630">
        <v>270637</v>
      </c>
      <c r="E8" s="631">
        <v>257463</v>
      </c>
      <c r="F8" s="628">
        <v>13174</v>
      </c>
    </row>
    <row r="9" spans="1:6" s="35" customFormat="1" ht="5.0999999999999996" customHeight="1">
      <c r="A9" s="25" t="s">
        <v>512</v>
      </c>
      <c r="B9" s="64"/>
      <c r="C9" s="64"/>
      <c r="D9" s="66"/>
      <c r="E9" s="89"/>
      <c r="F9" s="90" t="s">
        <v>277</v>
      </c>
    </row>
    <row r="10" spans="1:6" ht="12" customHeight="1">
      <c r="A10" s="25"/>
      <c r="B10" s="64"/>
      <c r="C10" s="16" t="s">
        <v>525</v>
      </c>
      <c r="D10" s="15"/>
      <c r="E10" s="15"/>
      <c r="F10" s="118" t="s">
        <v>526</v>
      </c>
    </row>
    <row r="11" spans="1:6" ht="12" customHeight="1">
      <c r="A11" s="31"/>
      <c r="B11" s="31"/>
      <c r="C11" s="16"/>
      <c r="F11" s="15"/>
    </row>
    <row r="12" spans="1:6" ht="12" customHeight="1">
      <c r="A12" s="31"/>
      <c r="B12" s="31"/>
      <c r="C12" s="16"/>
    </row>
    <row r="13" spans="1:6" ht="12" customHeight="1">
      <c r="D13" s="16"/>
      <c r="E13" s="88"/>
    </row>
    <row r="14" spans="1:6" ht="12" customHeight="1">
      <c r="F14" s="88"/>
    </row>
  </sheetData>
  <mergeCells count="4">
    <mergeCell ref="B3:C4"/>
    <mergeCell ref="D4:D5"/>
    <mergeCell ref="E4:F4"/>
    <mergeCell ref="D3:F3"/>
  </mergeCells>
  <phoneticPr fontId="3"/>
  <printOptions horizontalCentered="1"/>
  <pageMargins left="0.51181102362204722" right="0.51181102362204722" top="0.74803149606299213" bottom="0.74803149606299213" header="0.31496062992125984" footer="0.31496062992125984"/>
  <pageSetup paperSize="9" orientation="portrait" cellComments="asDisplayed"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FF21-30D0-4102-A4D2-1B21EF01EE9A}">
  <dimension ref="A1:I965"/>
  <sheetViews>
    <sheetView view="pageBreakPreview" zoomScaleNormal="100" zoomScaleSheetLayoutView="100" workbookViewId="0">
      <selection activeCell="F11" sqref="F11"/>
    </sheetView>
  </sheetViews>
  <sheetFormatPr defaultColWidth="9" defaultRowHeight="24.9" customHeight="1"/>
  <cols>
    <col min="1" max="1" width="2.33203125" style="15" customWidth="1"/>
    <col min="2" max="3" width="20.6640625" style="15" customWidth="1"/>
    <col min="4" max="5" width="20.6640625" style="22" customWidth="1"/>
    <col min="6" max="6" width="9" style="15" customWidth="1"/>
    <col min="7" max="7" width="22.77734375" style="15" customWidth="1"/>
    <col min="8" max="16384" width="9" style="15"/>
  </cols>
  <sheetData>
    <row r="1" spans="1:7" ht="15" customHeight="1">
      <c r="A1" s="735" t="s">
        <v>292</v>
      </c>
      <c r="B1" s="735"/>
      <c r="D1" s="114"/>
      <c r="E1" s="114"/>
    </row>
    <row r="2" spans="1:7" ht="9.9" customHeight="1" thickBot="1">
      <c r="B2" s="122"/>
      <c r="C2" s="94"/>
      <c r="D2" s="108"/>
      <c r="E2" s="108"/>
    </row>
    <row r="3" spans="1:7" ht="15" customHeight="1" thickTop="1">
      <c r="A3" s="736" t="s">
        <v>291</v>
      </c>
      <c r="B3" s="737"/>
      <c r="C3" s="738" t="s">
        <v>352</v>
      </c>
      <c r="D3" s="660">
        <v>4</v>
      </c>
      <c r="E3" s="728">
        <v>5</v>
      </c>
    </row>
    <row r="4" spans="1:7" ht="15" customHeight="1">
      <c r="A4" s="730" t="s">
        <v>290</v>
      </c>
      <c r="B4" s="731"/>
      <c r="C4" s="739"/>
      <c r="D4" s="661"/>
      <c r="E4" s="729"/>
    </row>
    <row r="5" spans="1:7" ht="17.100000000000001" customHeight="1">
      <c r="A5" s="732" t="s">
        <v>31</v>
      </c>
      <c r="B5" s="733"/>
      <c r="C5" s="632">
        <v>82003324</v>
      </c>
      <c r="D5" s="632">
        <v>85471264</v>
      </c>
      <c r="E5" s="633">
        <v>88288915</v>
      </c>
      <c r="G5" s="113"/>
    </row>
    <row r="6" spans="1:7" ht="17.100000000000001" customHeight="1">
      <c r="A6" s="551"/>
      <c r="B6" s="40"/>
      <c r="C6" s="634"/>
      <c r="D6" s="634"/>
      <c r="E6" s="635"/>
    </row>
    <row r="7" spans="1:7" ht="17.100000000000001" customHeight="1">
      <c r="A7" s="551"/>
      <c r="B7" s="40" t="s">
        <v>289</v>
      </c>
      <c r="C7" s="634">
        <v>69620</v>
      </c>
      <c r="D7" s="634">
        <v>69900</v>
      </c>
      <c r="E7" s="635">
        <v>86720</v>
      </c>
    </row>
    <row r="8" spans="1:7" ht="17.100000000000001" customHeight="1">
      <c r="A8" s="551"/>
      <c r="B8" s="40" t="s">
        <v>288</v>
      </c>
      <c r="C8" s="634">
        <v>30282445</v>
      </c>
      <c r="D8" s="634">
        <v>31441050</v>
      </c>
      <c r="E8" s="635">
        <v>32238835</v>
      </c>
    </row>
    <row r="9" spans="1:7" ht="17.100000000000001" customHeight="1">
      <c r="A9" s="551"/>
      <c r="B9" s="40" t="s">
        <v>287</v>
      </c>
      <c r="C9" s="634">
        <v>47697</v>
      </c>
      <c r="D9" s="634">
        <v>50959</v>
      </c>
      <c r="E9" s="635">
        <v>97958</v>
      </c>
    </row>
    <row r="10" spans="1:7" ht="17.100000000000001" customHeight="1">
      <c r="A10" s="551"/>
      <c r="B10" s="40" t="s">
        <v>286</v>
      </c>
      <c r="C10" s="634">
        <v>74456</v>
      </c>
      <c r="D10" s="634">
        <v>135924</v>
      </c>
      <c r="E10" s="635">
        <v>100011</v>
      </c>
    </row>
    <row r="11" spans="1:7" ht="17.100000000000001" customHeight="1">
      <c r="A11" s="551"/>
      <c r="B11" s="40" t="s">
        <v>285</v>
      </c>
      <c r="C11" s="634">
        <v>2305702</v>
      </c>
      <c r="D11" s="634">
        <v>2374645</v>
      </c>
      <c r="E11" s="635">
        <v>2509762</v>
      </c>
    </row>
    <row r="12" spans="1:7" ht="17.100000000000001" customHeight="1">
      <c r="A12" s="551"/>
      <c r="B12" s="40" t="s">
        <v>284</v>
      </c>
      <c r="C12" s="636" t="s">
        <v>114</v>
      </c>
      <c r="D12" s="636" t="s">
        <v>114</v>
      </c>
      <c r="E12" s="637" t="s">
        <v>114</v>
      </c>
    </row>
    <row r="13" spans="1:7" ht="17.100000000000001" customHeight="1">
      <c r="A13" s="551"/>
      <c r="B13" s="40" t="s">
        <v>527</v>
      </c>
      <c r="C13" s="634">
        <v>291082</v>
      </c>
      <c r="D13" s="634">
        <v>268331</v>
      </c>
      <c r="E13" s="635">
        <v>268503</v>
      </c>
    </row>
    <row r="14" spans="1:7" ht="17.100000000000001" customHeight="1">
      <c r="A14" s="551"/>
      <c r="B14" s="40" t="s">
        <v>283</v>
      </c>
      <c r="C14" s="634">
        <v>38907144</v>
      </c>
      <c r="D14" s="634">
        <v>40878519</v>
      </c>
      <c r="E14" s="635">
        <v>42365501</v>
      </c>
    </row>
    <row r="15" spans="1:7" ht="17.100000000000001" customHeight="1">
      <c r="A15" s="551"/>
      <c r="B15" s="40" t="s">
        <v>282</v>
      </c>
      <c r="C15" s="636" t="s">
        <v>114</v>
      </c>
      <c r="D15" s="636" t="s">
        <v>114</v>
      </c>
      <c r="E15" s="637" t="s">
        <v>114</v>
      </c>
    </row>
    <row r="16" spans="1:7" ht="17.100000000000001" customHeight="1">
      <c r="A16" s="551"/>
      <c r="B16" s="40" t="s">
        <v>281</v>
      </c>
      <c r="C16" s="634">
        <v>8253101</v>
      </c>
      <c r="D16" s="634">
        <v>8648374</v>
      </c>
      <c r="E16" s="635">
        <v>8967861</v>
      </c>
    </row>
    <row r="17" spans="1:9" ht="17.100000000000001" customHeight="1">
      <c r="A17" s="551"/>
      <c r="B17" s="40" t="s">
        <v>280</v>
      </c>
      <c r="C17" s="634">
        <v>12054</v>
      </c>
      <c r="D17" s="634">
        <v>1380</v>
      </c>
      <c r="E17" s="637" t="s">
        <v>114</v>
      </c>
    </row>
    <row r="18" spans="1:9" ht="17.100000000000001" customHeight="1">
      <c r="A18" s="638"/>
      <c r="B18" s="639" t="s">
        <v>279</v>
      </c>
      <c r="C18" s="640">
        <v>1760023</v>
      </c>
      <c r="D18" s="640">
        <v>1602184</v>
      </c>
      <c r="E18" s="641">
        <v>1653763</v>
      </c>
    </row>
    <row r="19" spans="1:9" ht="12" customHeight="1">
      <c r="A19" s="734" t="s">
        <v>278</v>
      </c>
      <c r="B19" s="734"/>
      <c r="C19" s="642"/>
      <c r="D19" s="16"/>
      <c r="E19" s="16" t="s">
        <v>277</v>
      </c>
      <c r="G19" s="112"/>
      <c r="H19" s="112"/>
      <c r="I19" s="112"/>
    </row>
    <row r="20" spans="1:9" ht="12" customHeight="1">
      <c r="B20" s="25"/>
      <c r="C20" s="25"/>
      <c r="D20" s="16"/>
      <c r="E20" s="16" t="s">
        <v>276</v>
      </c>
      <c r="G20" s="109"/>
      <c r="H20" s="109"/>
      <c r="I20" s="109"/>
    </row>
    <row r="21" spans="1:9" ht="12" customHeight="1">
      <c r="B21" s="25"/>
      <c r="C21" s="25"/>
      <c r="D21" s="16"/>
      <c r="E21" s="16" t="s">
        <v>275</v>
      </c>
      <c r="G21" s="109"/>
      <c r="H21" s="109"/>
      <c r="I21" s="109"/>
    </row>
    <row r="22" spans="1:9" ht="12" customHeight="1">
      <c r="B22" s="25"/>
      <c r="C22" s="25"/>
      <c r="D22" s="16"/>
      <c r="E22" s="16" t="s">
        <v>274</v>
      </c>
      <c r="G22" s="109"/>
      <c r="H22" s="109"/>
      <c r="I22" s="109"/>
    </row>
    <row r="23" spans="1:9" ht="12" customHeight="1">
      <c r="B23" s="25"/>
      <c r="C23" s="25"/>
      <c r="D23" s="16"/>
      <c r="E23" s="16" t="s">
        <v>273</v>
      </c>
      <c r="G23" s="109"/>
      <c r="H23" s="109"/>
      <c r="I23" s="109"/>
    </row>
    <row r="24" spans="1:9" ht="12" customHeight="1">
      <c r="B24" s="25"/>
      <c r="C24" s="16"/>
      <c r="D24" s="16"/>
      <c r="E24" s="16" t="s">
        <v>528</v>
      </c>
      <c r="G24" s="109"/>
      <c r="H24" s="109"/>
      <c r="I24" s="109"/>
    </row>
    <row r="25" spans="1:9" ht="12.9" customHeight="1">
      <c r="B25" s="25"/>
      <c r="D25" s="115"/>
      <c r="E25" s="16" t="s">
        <v>529</v>
      </c>
      <c r="G25" s="111"/>
      <c r="H25" s="109"/>
      <c r="I25" s="109"/>
    </row>
    <row r="26" spans="1:9" ht="12" customHeight="1">
      <c r="D26" s="110"/>
      <c r="E26" s="110"/>
      <c r="G26" s="109"/>
      <c r="H26" s="109"/>
      <c r="I26" s="109"/>
    </row>
    <row r="27" spans="1:9" ht="12" customHeight="1">
      <c r="G27" s="109"/>
      <c r="H27" s="109"/>
      <c r="I27" s="109"/>
    </row>
    <row r="28" spans="1:9" ht="12" customHeight="1"/>
    <row r="29" spans="1:9" ht="12" customHeight="1"/>
    <row r="30" spans="1:9" ht="12" customHeight="1"/>
    <row r="31" spans="1:9" ht="12" customHeight="1"/>
    <row r="32" spans="1:9"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sheetData>
  <sheetProtection selectLockedCells="1" selectUnlockedCells="1"/>
  <mergeCells count="8">
    <mergeCell ref="E3:E4"/>
    <mergeCell ref="A4:B4"/>
    <mergeCell ref="A5:B5"/>
    <mergeCell ref="A19:B19"/>
    <mergeCell ref="A1:B1"/>
    <mergeCell ref="A3:B3"/>
    <mergeCell ref="C3:C4"/>
    <mergeCell ref="D3:D4"/>
  </mergeCells>
  <phoneticPr fontId="3"/>
  <printOptions horizontalCentered="1" verticalCentered="1"/>
  <pageMargins left="0.78749999999999998" right="0.78749999999999998" top="0.39374999999999999" bottom="0.98402777777777772" header="0.51180555555555551" footer="0.5118055555555555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BreakPreview" zoomScale="106" zoomScaleNormal="85" zoomScaleSheetLayoutView="106" workbookViewId="0">
      <selection activeCell="D30" sqref="D30"/>
    </sheetView>
  </sheetViews>
  <sheetFormatPr defaultColWidth="9" defaultRowHeight="13.2"/>
  <cols>
    <col min="1" max="1" width="1.88671875" style="1" customWidth="1"/>
    <col min="2" max="2" width="23.77734375" style="1" customWidth="1"/>
    <col min="3" max="3" width="0.88671875" style="1" customWidth="1"/>
    <col min="4" max="6" width="20.109375" style="1" customWidth="1"/>
    <col min="7" max="7" width="17" style="1" bestFit="1" customWidth="1"/>
    <col min="8" max="9" width="15" style="1" bestFit="1" customWidth="1"/>
    <col min="10" max="16384" width="9" style="1"/>
  </cols>
  <sheetData>
    <row r="1" spans="1:6" ht="15" customHeight="1">
      <c r="A1" s="122" t="s">
        <v>316</v>
      </c>
      <c r="C1" s="122"/>
    </row>
    <row r="2" spans="1:6" ht="5.0999999999999996" customHeight="1">
      <c r="A2" s="122"/>
      <c r="C2" s="122"/>
    </row>
    <row r="3" spans="1:6" s="15" customFormat="1" ht="15" customHeight="1" thickBot="1">
      <c r="A3" s="28" t="s">
        <v>56</v>
      </c>
      <c r="C3" s="28"/>
      <c r="F3" s="16" t="s">
        <v>317</v>
      </c>
    </row>
    <row r="4" spans="1:6" s="35" customFormat="1" ht="15" customHeight="1" thickTop="1">
      <c r="A4" s="179"/>
      <c r="B4" s="666" t="s">
        <v>89</v>
      </c>
      <c r="C4" s="667"/>
      <c r="D4" s="660" t="s">
        <v>6</v>
      </c>
      <c r="E4" s="660" t="s">
        <v>33</v>
      </c>
      <c r="F4" s="660" t="s">
        <v>32</v>
      </c>
    </row>
    <row r="5" spans="1:6" s="35" customFormat="1" ht="15" customHeight="1">
      <c r="A5" s="662" t="s">
        <v>55</v>
      </c>
      <c r="B5" s="663"/>
      <c r="C5" s="180"/>
      <c r="D5" s="661"/>
      <c r="E5" s="661"/>
      <c r="F5" s="661"/>
    </row>
    <row r="6" spans="1:6" s="28" customFormat="1" ht="12.9" customHeight="1">
      <c r="A6" s="664" t="s">
        <v>31</v>
      </c>
      <c r="B6" s="665"/>
      <c r="C6" s="181"/>
      <c r="D6" s="182">
        <f>SUM(D8:D29)</f>
        <v>319293468</v>
      </c>
      <c r="E6" s="183">
        <f>F6-D6</f>
        <v>15887972</v>
      </c>
      <c r="F6" s="183">
        <f>SUM(F8:F29)</f>
        <v>335181440</v>
      </c>
    </row>
    <row r="7" spans="1:6" s="30" customFormat="1" ht="12.9" customHeight="1">
      <c r="A7" s="184"/>
      <c r="B7" s="36"/>
      <c r="C7" s="185"/>
      <c r="D7" s="186"/>
      <c r="E7" s="187"/>
      <c r="F7" s="186"/>
    </row>
    <row r="8" spans="1:6" s="30" customFormat="1" ht="12.9" customHeight="1">
      <c r="A8" s="184"/>
      <c r="B8" s="36" t="s">
        <v>16</v>
      </c>
      <c r="C8" s="185"/>
      <c r="D8" s="188">
        <v>53687073</v>
      </c>
      <c r="E8" s="189">
        <f t="shared" ref="E8:E29" si="0">F8-D8</f>
        <v>679856</v>
      </c>
      <c r="F8" s="188">
        <v>54366929</v>
      </c>
    </row>
    <row r="9" spans="1:6" s="30" customFormat="1" ht="12.9" customHeight="1">
      <c r="A9" s="184"/>
      <c r="B9" s="36" t="s">
        <v>54</v>
      </c>
      <c r="C9" s="185"/>
      <c r="D9" s="188">
        <v>983701</v>
      </c>
      <c r="E9" s="189">
        <f t="shared" si="0"/>
        <v>0</v>
      </c>
      <c r="F9" s="188">
        <v>983701</v>
      </c>
    </row>
    <row r="10" spans="1:6" s="30" customFormat="1" ht="12.9" customHeight="1">
      <c r="A10" s="184"/>
      <c r="B10" s="36" t="s">
        <v>53</v>
      </c>
      <c r="C10" s="185"/>
      <c r="D10" s="188">
        <v>108000</v>
      </c>
      <c r="E10" s="189">
        <f t="shared" si="0"/>
        <v>69000</v>
      </c>
      <c r="F10" s="188">
        <v>177000</v>
      </c>
    </row>
    <row r="11" spans="1:6" s="30" customFormat="1" ht="12.9" customHeight="1">
      <c r="A11" s="184"/>
      <c r="B11" s="36" t="s">
        <v>52</v>
      </c>
      <c r="C11" s="185"/>
      <c r="D11" s="188">
        <v>779000</v>
      </c>
      <c r="E11" s="189">
        <f t="shared" si="0"/>
        <v>163000</v>
      </c>
      <c r="F11" s="188">
        <v>942000</v>
      </c>
    </row>
    <row r="12" spans="1:6" s="30" customFormat="1" ht="12.9" customHeight="1">
      <c r="A12" s="184"/>
      <c r="B12" s="36" t="s">
        <v>51</v>
      </c>
      <c r="C12" s="185"/>
      <c r="D12" s="188">
        <v>691000</v>
      </c>
      <c r="E12" s="189">
        <f t="shared" si="0"/>
        <v>0</v>
      </c>
      <c r="F12" s="188">
        <v>691000</v>
      </c>
    </row>
    <row r="13" spans="1:6" s="30" customFormat="1" ht="12.9" customHeight="1">
      <c r="A13" s="184"/>
      <c r="B13" s="36" t="s">
        <v>50</v>
      </c>
      <c r="C13" s="185"/>
      <c r="D13" s="188">
        <v>15300000</v>
      </c>
      <c r="E13" s="189">
        <f t="shared" si="0"/>
        <v>0</v>
      </c>
      <c r="F13" s="188">
        <v>15300000</v>
      </c>
    </row>
    <row r="14" spans="1:6" s="30" customFormat="1" ht="12.9" customHeight="1">
      <c r="A14" s="184"/>
      <c r="B14" s="36" t="s">
        <v>49</v>
      </c>
      <c r="C14" s="185"/>
      <c r="D14" s="188">
        <v>1</v>
      </c>
      <c r="E14" s="189">
        <f t="shared" si="0"/>
        <v>4875</v>
      </c>
      <c r="F14" s="188">
        <v>4876</v>
      </c>
    </row>
    <row r="15" spans="1:6" s="30" customFormat="1" ht="12.9" customHeight="1">
      <c r="A15" s="184"/>
      <c r="B15" s="36" t="s">
        <v>318</v>
      </c>
      <c r="C15" s="185"/>
      <c r="D15" s="188">
        <v>238000</v>
      </c>
      <c r="E15" s="189">
        <f t="shared" si="0"/>
        <v>0</v>
      </c>
      <c r="F15" s="188">
        <v>238000</v>
      </c>
    </row>
    <row r="16" spans="1:6" s="30" customFormat="1" ht="12.9" customHeight="1">
      <c r="A16" s="184"/>
      <c r="B16" s="36" t="s">
        <v>48</v>
      </c>
      <c r="C16" s="185"/>
      <c r="D16" s="188">
        <v>1849</v>
      </c>
      <c r="E16" s="189">
        <f t="shared" si="0"/>
        <v>721</v>
      </c>
      <c r="F16" s="188">
        <v>2570</v>
      </c>
    </row>
    <row r="17" spans="1:9" s="30" customFormat="1" ht="12.9" customHeight="1">
      <c r="A17" s="184"/>
      <c r="B17" s="36" t="s">
        <v>47</v>
      </c>
      <c r="C17" s="185"/>
      <c r="D17" s="189">
        <v>573000</v>
      </c>
      <c r="E17" s="189">
        <f t="shared" si="0"/>
        <v>86248</v>
      </c>
      <c r="F17" s="188">
        <v>659248</v>
      </c>
    </row>
    <row r="18" spans="1:9" s="30" customFormat="1" ht="12.9" customHeight="1">
      <c r="A18" s="184"/>
      <c r="B18" s="36" t="s">
        <v>46</v>
      </c>
      <c r="C18" s="185"/>
      <c r="D18" s="188">
        <v>73000</v>
      </c>
      <c r="E18" s="189">
        <f t="shared" si="0"/>
        <v>0</v>
      </c>
      <c r="F18" s="188">
        <v>73000</v>
      </c>
    </row>
    <row r="19" spans="1:9" s="30" customFormat="1" ht="12.9" customHeight="1">
      <c r="A19" s="184"/>
      <c r="B19" s="36" t="s">
        <v>45</v>
      </c>
      <c r="C19" s="185"/>
      <c r="D19" s="188">
        <v>111059000</v>
      </c>
      <c r="E19" s="189">
        <f t="shared" si="0"/>
        <v>0</v>
      </c>
      <c r="F19" s="188">
        <v>111059000</v>
      </c>
    </row>
    <row r="20" spans="1:9" s="30" customFormat="1" ht="12.9" customHeight="1">
      <c r="A20" s="184"/>
      <c r="B20" s="36" t="s">
        <v>44</v>
      </c>
      <c r="C20" s="185"/>
      <c r="D20" s="188">
        <v>2227003</v>
      </c>
      <c r="E20" s="189">
        <f t="shared" si="0"/>
        <v>-15254</v>
      </c>
      <c r="F20" s="188">
        <v>2211749</v>
      </c>
    </row>
    <row r="21" spans="1:9" s="30" customFormat="1" ht="12.9" customHeight="1">
      <c r="A21" s="184"/>
      <c r="B21" s="36" t="s">
        <v>43</v>
      </c>
      <c r="C21" s="185"/>
      <c r="D21" s="188">
        <v>4296514</v>
      </c>
      <c r="E21" s="189">
        <f t="shared" si="0"/>
        <v>372352</v>
      </c>
      <c r="F21" s="188">
        <v>4668866</v>
      </c>
    </row>
    <row r="22" spans="1:9" s="30" customFormat="1" ht="12.9" customHeight="1">
      <c r="A22" s="184"/>
      <c r="B22" s="36" t="s">
        <v>42</v>
      </c>
      <c r="C22" s="185"/>
      <c r="D22" s="188">
        <v>70510240</v>
      </c>
      <c r="E22" s="189">
        <f t="shared" si="0"/>
        <v>-368853</v>
      </c>
      <c r="F22" s="188">
        <v>70141387</v>
      </c>
    </row>
    <row r="23" spans="1:9" s="30" customFormat="1" ht="12.9" customHeight="1">
      <c r="A23" s="184"/>
      <c r="B23" s="36" t="s">
        <v>41</v>
      </c>
      <c r="C23" s="185"/>
      <c r="D23" s="188">
        <v>26485488</v>
      </c>
      <c r="E23" s="189">
        <f t="shared" si="0"/>
        <v>14884852</v>
      </c>
      <c r="F23" s="188">
        <v>41370340</v>
      </c>
    </row>
    <row r="24" spans="1:9" s="30" customFormat="1" ht="12.9" customHeight="1">
      <c r="A24" s="184"/>
      <c r="B24" s="36" t="s">
        <v>40</v>
      </c>
      <c r="C24" s="185"/>
      <c r="D24" s="188">
        <v>439893</v>
      </c>
      <c r="E24" s="189">
        <f t="shared" si="0"/>
        <v>244131</v>
      </c>
      <c r="F24" s="188">
        <v>684024</v>
      </c>
    </row>
    <row r="25" spans="1:9" s="30" customFormat="1" ht="12.9" customHeight="1">
      <c r="A25" s="184"/>
      <c r="B25" s="36" t="s">
        <v>39</v>
      </c>
      <c r="C25" s="185"/>
      <c r="D25" s="188">
        <v>23198</v>
      </c>
      <c r="E25" s="189">
        <f t="shared" si="0"/>
        <v>195926</v>
      </c>
      <c r="F25" s="188">
        <v>219124</v>
      </c>
    </row>
    <row r="26" spans="1:9" s="30" customFormat="1" ht="12.9" customHeight="1">
      <c r="A26" s="184"/>
      <c r="B26" s="36" t="s">
        <v>38</v>
      </c>
      <c r="C26" s="185"/>
      <c r="D26" s="188">
        <v>25800070</v>
      </c>
      <c r="E26" s="189">
        <f t="shared" si="0"/>
        <v>-4113794</v>
      </c>
      <c r="F26" s="188">
        <v>21686276</v>
      </c>
    </row>
    <row r="27" spans="1:9" s="30" customFormat="1" ht="12.9" customHeight="1">
      <c r="A27" s="184"/>
      <c r="B27" s="36" t="s">
        <v>37</v>
      </c>
      <c r="C27" s="185"/>
      <c r="D27" s="188">
        <v>1000000</v>
      </c>
      <c r="E27" s="189">
        <f t="shared" si="0"/>
        <v>5429153</v>
      </c>
      <c r="F27" s="188">
        <v>6429153</v>
      </c>
    </row>
    <row r="28" spans="1:9" s="30" customFormat="1" ht="12.9" customHeight="1">
      <c r="A28" s="184"/>
      <c r="B28" s="36" t="s">
        <v>36</v>
      </c>
      <c r="C28" s="185"/>
      <c r="D28" s="188">
        <v>3482438</v>
      </c>
      <c r="E28" s="189">
        <f t="shared" si="0"/>
        <v>-213241</v>
      </c>
      <c r="F28" s="188">
        <v>3269197</v>
      </c>
    </row>
    <row r="29" spans="1:9" s="30" customFormat="1" ht="12.9" customHeight="1">
      <c r="A29" s="184"/>
      <c r="B29" s="36" t="s">
        <v>35</v>
      </c>
      <c r="C29" s="185"/>
      <c r="D29" s="188">
        <v>1535000</v>
      </c>
      <c r="E29" s="189">
        <f t="shared" si="0"/>
        <v>-1531000</v>
      </c>
      <c r="F29" s="188">
        <v>4000</v>
      </c>
      <c r="G29" s="33"/>
      <c r="H29" s="33"/>
      <c r="I29" s="33"/>
    </row>
    <row r="30" spans="1:9" s="30" customFormat="1" ht="12.75" customHeight="1">
      <c r="A30" s="190"/>
      <c r="B30" s="191"/>
      <c r="C30" s="192"/>
      <c r="D30" s="193"/>
      <c r="E30" s="193"/>
      <c r="F30" s="194"/>
    </row>
    <row r="31" spans="1:9" ht="12.9" customHeight="1"/>
    <row r="32" spans="1:9" ht="15" customHeight="1" thickBot="1">
      <c r="A32" s="28" t="s">
        <v>34</v>
      </c>
      <c r="B32" s="28"/>
      <c r="C32" s="28"/>
      <c r="D32" s="15"/>
      <c r="E32" s="15"/>
      <c r="F32" s="16"/>
    </row>
    <row r="33" spans="1:9" s="35" customFormat="1" ht="15" customHeight="1" thickTop="1">
      <c r="A33" s="179"/>
      <c r="B33" s="666" t="s">
        <v>89</v>
      </c>
      <c r="C33" s="667"/>
      <c r="D33" s="660" t="s">
        <v>6</v>
      </c>
      <c r="E33" s="660" t="s">
        <v>33</v>
      </c>
      <c r="F33" s="660" t="s">
        <v>32</v>
      </c>
    </row>
    <row r="34" spans="1:9" s="35" customFormat="1" ht="15" customHeight="1">
      <c r="A34" s="662" t="s">
        <v>55</v>
      </c>
      <c r="B34" s="663"/>
      <c r="C34" s="180"/>
      <c r="D34" s="661"/>
      <c r="E34" s="661"/>
      <c r="F34" s="661"/>
    </row>
    <row r="35" spans="1:9" s="35" customFormat="1" ht="12.9" customHeight="1">
      <c r="A35" s="664" t="s">
        <v>31</v>
      </c>
      <c r="B35" s="665"/>
      <c r="C35" s="181"/>
      <c r="D35" s="195">
        <f>SUM(D37:D46)</f>
        <v>319293468</v>
      </c>
      <c r="E35" s="183">
        <f>F35-D35</f>
        <v>15887972</v>
      </c>
      <c r="F35" s="196">
        <f>SUM(F37:F46)</f>
        <v>335181440</v>
      </c>
    </row>
    <row r="36" spans="1:9" s="35" customFormat="1" ht="12.9" customHeight="1">
      <c r="A36" s="197"/>
      <c r="B36" s="37"/>
      <c r="C36" s="198"/>
      <c r="D36" s="199"/>
      <c r="E36" s="189"/>
      <c r="F36" s="200"/>
    </row>
    <row r="37" spans="1:9" s="35" customFormat="1" ht="12.9" customHeight="1">
      <c r="A37" s="197"/>
      <c r="B37" s="36" t="s">
        <v>30</v>
      </c>
      <c r="C37" s="185"/>
      <c r="D37" s="201">
        <v>970279</v>
      </c>
      <c r="E37" s="189">
        <f t="shared" ref="E37:E46" si="1">F37-D37</f>
        <v>-3509</v>
      </c>
      <c r="F37" s="202">
        <v>966770</v>
      </c>
    </row>
    <row r="38" spans="1:9" s="35" customFormat="1" ht="12.9" customHeight="1">
      <c r="A38" s="197"/>
      <c r="B38" s="36" t="s">
        <v>29</v>
      </c>
      <c r="C38" s="185"/>
      <c r="D38" s="201">
        <v>39594450</v>
      </c>
      <c r="E38" s="189">
        <f t="shared" si="1"/>
        <v>-1885258</v>
      </c>
      <c r="F38" s="202">
        <v>37709192</v>
      </c>
    </row>
    <row r="39" spans="1:9" s="35" customFormat="1" ht="12.9" customHeight="1">
      <c r="A39" s="197"/>
      <c r="B39" s="36" t="s">
        <v>28</v>
      </c>
      <c r="C39" s="185"/>
      <c r="D39" s="201">
        <v>148345131</v>
      </c>
      <c r="E39" s="189">
        <f t="shared" si="1"/>
        <v>19385649</v>
      </c>
      <c r="F39" s="202">
        <v>167730780</v>
      </c>
    </row>
    <row r="40" spans="1:9" s="35" customFormat="1" ht="12.9" customHeight="1">
      <c r="A40" s="197"/>
      <c r="B40" s="36" t="s">
        <v>27</v>
      </c>
      <c r="C40" s="185"/>
      <c r="D40" s="201">
        <v>6077579</v>
      </c>
      <c r="E40" s="189">
        <f t="shared" si="1"/>
        <v>406249</v>
      </c>
      <c r="F40" s="202">
        <v>6483828</v>
      </c>
    </row>
    <row r="41" spans="1:9" s="35" customFormat="1" ht="12.9" customHeight="1">
      <c r="A41" s="197"/>
      <c r="B41" s="36" t="s">
        <v>26</v>
      </c>
      <c r="C41" s="185"/>
      <c r="D41" s="201">
        <v>29214873</v>
      </c>
      <c r="E41" s="189">
        <f t="shared" si="1"/>
        <v>-5004462</v>
      </c>
      <c r="F41" s="203">
        <v>24210411</v>
      </c>
    </row>
    <row r="42" spans="1:9" s="35" customFormat="1" ht="12.9" customHeight="1">
      <c r="A42" s="197"/>
      <c r="B42" s="36" t="s">
        <v>25</v>
      </c>
      <c r="C42" s="185"/>
      <c r="D42" s="201">
        <v>23629043</v>
      </c>
      <c r="E42" s="189">
        <f t="shared" si="1"/>
        <v>-1481689</v>
      </c>
      <c r="F42" s="202">
        <v>22147354</v>
      </c>
    </row>
    <row r="43" spans="1:9" s="35" customFormat="1" ht="12.9" customHeight="1">
      <c r="A43" s="197"/>
      <c r="B43" s="36" t="s">
        <v>24</v>
      </c>
      <c r="C43" s="185"/>
      <c r="D43" s="201">
        <v>40784710</v>
      </c>
      <c r="E43" s="189">
        <f t="shared" si="1"/>
        <v>4090799</v>
      </c>
      <c r="F43" s="202">
        <v>44875509</v>
      </c>
    </row>
    <row r="44" spans="1:9" s="35" customFormat="1" ht="12.9" customHeight="1">
      <c r="A44" s="197"/>
      <c r="B44" s="36" t="s">
        <v>23</v>
      </c>
      <c r="C44" s="185"/>
      <c r="D44" s="201">
        <v>3789071</v>
      </c>
      <c r="E44" s="189">
        <f t="shared" si="1"/>
        <v>0</v>
      </c>
      <c r="F44" s="202">
        <v>3789071</v>
      </c>
    </row>
    <row r="45" spans="1:9" s="35" customFormat="1" ht="12.9" customHeight="1">
      <c r="A45" s="197"/>
      <c r="B45" s="36" t="s">
        <v>22</v>
      </c>
      <c r="C45" s="185"/>
      <c r="D45" s="201">
        <v>26488332</v>
      </c>
      <c r="E45" s="189">
        <f t="shared" si="1"/>
        <v>380193</v>
      </c>
      <c r="F45" s="202">
        <v>26868525</v>
      </c>
    </row>
    <row r="46" spans="1:9" ht="12.9" customHeight="1">
      <c r="A46" s="204"/>
      <c r="B46" s="205" t="s">
        <v>21</v>
      </c>
      <c r="C46" s="206"/>
      <c r="D46" s="207">
        <v>400000</v>
      </c>
      <c r="E46" s="193">
        <f t="shared" si="1"/>
        <v>0</v>
      </c>
      <c r="F46" s="208">
        <v>400000</v>
      </c>
      <c r="G46" s="33"/>
      <c r="H46" s="33"/>
      <c r="I46" s="33"/>
    </row>
    <row r="47" spans="1:9" ht="12" customHeight="1">
      <c r="A47" s="10" t="s">
        <v>312</v>
      </c>
      <c r="B47" s="10"/>
      <c r="C47" s="10"/>
      <c r="D47" s="10"/>
      <c r="E47" s="10"/>
      <c r="F47" s="11" t="s">
        <v>277</v>
      </c>
    </row>
    <row r="48" spans="1:9" ht="15" customHeight="1">
      <c r="D48" s="119"/>
      <c r="E48" s="32"/>
      <c r="F48" s="16" t="s">
        <v>319</v>
      </c>
    </row>
  </sheetData>
  <mergeCells count="12">
    <mergeCell ref="F33:F34"/>
    <mergeCell ref="A34:B34"/>
    <mergeCell ref="A35:B35"/>
    <mergeCell ref="B4:C4"/>
    <mergeCell ref="D4:D5"/>
    <mergeCell ref="E4:E5"/>
    <mergeCell ref="F4:F5"/>
    <mergeCell ref="A5:B5"/>
    <mergeCell ref="A6:B6"/>
    <mergeCell ref="B33:C33"/>
    <mergeCell ref="D33:D34"/>
    <mergeCell ref="E33:E34"/>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A2CB-308C-409D-A70D-4419E4D45504}">
  <dimension ref="A1:G35"/>
  <sheetViews>
    <sheetView view="pageBreakPreview" zoomScaleNormal="100" zoomScaleSheetLayoutView="100" workbookViewId="0">
      <selection activeCell="A26" sqref="A26:XFD26"/>
    </sheetView>
  </sheetViews>
  <sheetFormatPr defaultColWidth="9" defaultRowHeight="13.2"/>
  <cols>
    <col min="1" max="1" width="2" style="1" customWidth="1"/>
    <col min="2" max="2" width="29.77734375" style="1" customWidth="1"/>
    <col min="3" max="5" width="18.33203125" style="1" customWidth="1"/>
    <col min="6" max="6" width="9" style="1"/>
    <col min="7" max="7" width="10.44140625" style="1" bestFit="1" customWidth="1"/>
    <col min="8" max="16384" width="9" style="1"/>
  </cols>
  <sheetData>
    <row r="1" spans="1:7" ht="15" customHeight="1">
      <c r="A1" s="735" t="s">
        <v>530</v>
      </c>
      <c r="B1" s="735"/>
      <c r="C1" s="735"/>
      <c r="D1" s="735"/>
      <c r="E1" s="735"/>
      <c r="F1" s="15"/>
    </row>
    <row r="2" spans="1:7" ht="9.9" customHeight="1" thickBot="1">
      <c r="B2" s="122"/>
      <c r="C2" s="94"/>
      <c r="D2" s="108"/>
      <c r="E2" s="108"/>
      <c r="F2" s="15"/>
    </row>
    <row r="3" spans="1:7" ht="15" customHeight="1" thickTop="1" thickBot="1">
      <c r="A3" s="742" t="s">
        <v>531</v>
      </c>
      <c r="B3" s="742"/>
      <c r="C3" s="668" t="s">
        <v>532</v>
      </c>
      <c r="D3" s="743">
        <v>3</v>
      </c>
      <c r="E3" s="744">
        <v>4</v>
      </c>
      <c r="F3" s="15"/>
    </row>
    <row r="4" spans="1:7" ht="15" customHeight="1" thickTop="1">
      <c r="A4" s="745" t="s">
        <v>533</v>
      </c>
      <c r="B4" s="745"/>
      <c r="C4" s="668"/>
      <c r="D4" s="743"/>
      <c r="E4" s="744"/>
      <c r="F4" s="15"/>
    </row>
    <row r="5" spans="1:7" ht="17.100000000000001" customHeight="1">
      <c r="A5" s="740" t="s">
        <v>31</v>
      </c>
      <c r="B5" s="740"/>
      <c r="C5" s="643">
        <v>202534</v>
      </c>
      <c r="D5" s="643">
        <v>222474</v>
      </c>
      <c r="E5" s="633">
        <v>221777</v>
      </c>
      <c r="F5" s="15"/>
      <c r="G5" s="107"/>
    </row>
    <row r="6" spans="1:7" ht="17.100000000000001" customHeight="1">
      <c r="A6" s="539"/>
      <c r="B6" s="40"/>
      <c r="C6" s="644"/>
      <c r="D6" s="644"/>
      <c r="E6" s="635"/>
      <c r="F6" s="15"/>
    </row>
    <row r="7" spans="1:7" ht="17.100000000000001" customHeight="1">
      <c r="A7" s="539"/>
      <c r="B7" s="40" t="s">
        <v>534</v>
      </c>
      <c r="C7" s="644">
        <v>510</v>
      </c>
      <c r="D7" s="644">
        <v>474</v>
      </c>
      <c r="E7" s="635">
        <v>411</v>
      </c>
      <c r="F7" s="15"/>
    </row>
    <row r="8" spans="1:7" ht="17.100000000000001" customHeight="1">
      <c r="A8" s="539"/>
      <c r="B8" s="40" t="s">
        <v>535</v>
      </c>
      <c r="C8" s="644">
        <v>43379</v>
      </c>
      <c r="D8" s="644">
        <v>46613</v>
      </c>
      <c r="E8" s="635">
        <v>47235</v>
      </c>
      <c r="F8" s="15"/>
    </row>
    <row r="9" spans="1:7" ht="17.100000000000001" customHeight="1">
      <c r="A9" s="539"/>
      <c r="B9" s="40" t="s">
        <v>536</v>
      </c>
      <c r="C9" s="644">
        <v>1056</v>
      </c>
      <c r="D9" s="644">
        <v>955</v>
      </c>
      <c r="E9" s="635">
        <v>925</v>
      </c>
      <c r="F9" s="15"/>
    </row>
    <row r="10" spans="1:7" ht="17.100000000000001" customHeight="1">
      <c r="A10" s="539"/>
      <c r="B10" s="40" t="s">
        <v>537</v>
      </c>
      <c r="C10" s="614">
        <v>24114</v>
      </c>
      <c r="D10" s="614">
        <v>28237</v>
      </c>
      <c r="E10" s="645">
        <v>29809</v>
      </c>
      <c r="F10" s="15"/>
    </row>
    <row r="11" spans="1:7" ht="17.100000000000001" customHeight="1">
      <c r="A11" s="539"/>
      <c r="B11" s="40" t="s">
        <v>272</v>
      </c>
      <c r="C11" s="644">
        <v>26023</v>
      </c>
      <c r="D11" s="644">
        <v>34662</v>
      </c>
      <c r="E11" s="635">
        <v>32918</v>
      </c>
      <c r="F11" s="15"/>
    </row>
    <row r="12" spans="1:7" ht="17.100000000000001" customHeight="1">
      <c r="A12" s="539"/>
      <c r="B12" s="40" t="s">
        <v>538</v>
      </c>
      <c r="C12" s="644">
        <v>2232</v>
      </c>
      <c r="D12" s="644">
        <v>3825</v>
      </c>
      <c r="E12" s="635">
        <v>3422</v>
      </c>
      <c r="F12" s="15"/>
    </row>
    <row r="13" spans="1:7" ht="17.100000000000001" customHeight="1">
      <c r="A13" s="539"/>
      <c r="B13" s="40" t="s">
        <v>539</v>
      </c>
      <c r="C13" s="644">
        <v>23910</v>
      </c>
      <c r="D13" s="644">
        <v>26942</v>
      </c>
      <c r="E13" s="635">
        <v>24891</v>
      </c>
      <c r="F13" s="15"/>
    </row>
    <row r="14" spans="1:7" ht="17.100000000000001" customHeight="1">
      <c r="A14" s="539"/>
      <c r="B14" s="40" t="s">
        <v>540</v>
      </c>
      <c r="C14" s="644">
        <v>23</v>
      </c>
      <c r="D14" s="644">
        <v>21</v>
      </c>
      <c r="E14" s="635">
        <v>23</v>
      </c>
      <c r="F14" s="15"/>
    </row>
    <row r="15" spans="1:7" ht="17.100000000000001" customHeight="1">
      <c r="A15" s="539"/>
      <c r="B15" s="40" t="s">
        <v>541</v>
      </c>
      <c r="C15" s="644">
        <v>80933</v>
      </c>
      <c r="D15" s="644">
        <v>80379</v>
      </c>
      <c r="E15" s="635">
        <v>81864</v>
      </c>
      <c r="F15" s="15"/>
    </row>
    <row r="16" spans="1:7" ht="17.100000000000001" customHeight="1">
      <c r="A16" s="539"/>
      <c r="B16" s="40" t="s">
        <v>542</v>
      </c>
      <c r="C16" s="553" t="s">
        <v>271</v>
      </c>
      <c r="D16" s="529" t="s">
        <v>271</v>
      </c>
      <c r="E16" s="646" t="s">
        <v>271</v>
      </c>
      <c r="F16" s="15"/>
    </row>
    <row r="17" spans="1:6" ht="17.100000000000001" customHeight="1">
      <c r="A17" s="539"/>
      <c r="B17" s="40" t="s">
        <v>543</v>
      </c>
      <c r="C17" s="647">
        <v>0</v>
      </c>
      <c r="D17" s="647">
        <v>0</v>
      </c>
      <c r="E17" s="648" t="s">
        <v>114</v>
      </c>
      <c r="F17" s="15"/>
    </row>
    <row r="18" spans="1:6" ht="17.100000000000001" customHeight="1">
      <c r="A18" s="539"/>
      <c r="B18" s="40" t="s">
        <v>544</v>
      </c>
      <c r="C18" s="553" t="s">
        <v>114</v>
      </c>
      <c r="D18" s="553" t="s">
        <v>114</v>
      </c>
      <c r="E18" s="637" t="s">
        <v>114</v>
      </c>
      <c r="F18" s="15"/>
    </row>
    <row r="19" spans="1:6" ht="17.100000000000001" customHeight="1">
      <c r="A19" s="34"/>
      <c r="B19" s="639" t="s">
        <v>390</v>
      </c>
      <c r="C19" s="649" t="s">
        <v>271</v>
      </c>
      <c r="D19" s="649" t="s">
        <v>271</v>
      </c>
      <c r="E19" s="650" t="s">
        <v>271</v>
      </c>
      <c r="F19" s="15"/>
    </row>
    <row r="20" spans="1:6" ht="12" customHeight="1">
      <c r="A20" s="741" t="s">
        <v>545</v>
      </c>
      <c r="B20" s="741"/>
      <c r="C20" s="642"/>
      <c r="D20" s="16"/>
      <c r="E20" s="16" t="s">
        <v>349</v>
      </c>
      <c r="F20" s="15"/>
    </row>
    <row r="21" spans="1:6" s="10" customFormat="1" ht="12" customHeight="1">
      <c r="B21" s="16" t="s">
        <v>546</v>
      </c>
      <c r="C21" s="25" t="s">
        <v>547</v>
      </c>
      <c r="D21" s="16"/>
      <c r="E21" s="16"/>
      <c r="F21" s="25"/>
    </row>
    <row r="22" spans="1:6" s="10" customFormat="1" ht="12" customHeight="1">
      <c r="B22" s="16" t="s">
        <v>548</v>
      </c>
      <c r="C22" s="25" t="s">
        <v>549</v>
      </c>
      <c r="D22" s="651"/>
      <c r="E22" s="16"/>
      <c r="F22" s="25"/>
    </row>
    <row r="23" spans="1:6" s="10" customFormat="1" ht="12" customHeight="1">
      <c r="C23" s="10" t="s">
        <v>550</v>
      </c>
      <c r="D23" s="651"/>
      <c r="E23" s="651"/>
      <c r="F23" s="25"/>
    </row>
    <row r="24" spans="1:6" s="10" customFormat="1" ht="12" customHeight="1">
      <c r="B24" s="16"/>
      <c r="C24" s="10" t="s">
        <v>551</v>
      </c>
      <c r="D24" s="16"/>
      <c r="E24" s="16"/>
    </row>
    <row r="25" spans="1:6" s="10" customFormat="1" ht="12" customHeight="1">
      <c r="B25" s="16" t="s">
        <v>270</v>
      </c>
      <c r="C25" s="25" t="s">
        <v>552</v>
      </c>
      <c r="D25" s="16"/>
      <c r="E25" s="16"/>
    </row>
    <row r="26" spans="1:6">
      <c r="B26" s="16"/>
      <c r="C26" s="25"/>
      <c r="D26" s="10"/>
      <c r="E26" s="10"/>
    </row>
    <row r="35" ht="15" customHeight="1"/>
  </sheetData>
  <mergeCells count="8">
    <mergeCell ref="A5:B5"/>
    <mergeCell ref="A20:B20"/>
    <mergeCell ref="A1:E1"/>
    <mergeCell ref="A3:B3"/>
    <mergeCell ref="C3:C4"/>
    <mergeCell ref="D3:D4"/>
    <mergeCell ref="E3:E4"/>
    <mergeCell ref="A4:B4"/>
  </mergeCells>
  <phoneticPr fontId="3"/>
  <printOptions horizontalCentered="1"/>
  <pageMargins left="0.78740157480314965" right="0.78740157480314965" top="0.98425196850393704" bottom="0.98425196850393704" header="0.51181102362204722" footer="0.51181102362204722"/>
  <pageSetup paperSize="9" orientation="portrait"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view="pageBreakPreview" zoomScale="85" zoomScaleNormal="100" zoomScaleSheetLayoutView="85" workbookViewId="0">
      <selection activeCell="I28" sqref="I28"/>
    </sheetView>
  </sheetViews>
  <sheetFormatPr defaultColWidth="9" defaultRowHeight="13.2"/>
  <cols>
    <col min="1" max="1" width="1.77734375" style="1" customWidth="1"/>
    <col min="2" max="2" width="24.109375" style="1" customWidth="1"/>
    <col min="3" max="3" width="0.88671875" style="1" customWidth="1"/>
    <col min="4" max="6" width="20.6640625" style="1" customWidth="1"/>
    <col min="7" max="9" width="15" style="1" customWidth="1"/>
    <col min="10" max="16384" width="9" style="1"/>
  </cols>
  <sheetData>
    <row r="1" spans="1:9" ht="15" customHeight="1">
      <c r="A1" s="122" t="s">
        <v>320</v>
      </c>
      <c r="B1" s="122"/>
      <c r="C1" s="122"/>
      <c r="D1" s="23"/>
    </row>
    <row r="2" spans="1:9" ht="5.0999999999999996" customHeight="1">
      <c r="A2" s="122"/>
      <c r="B2" s="122"/>
      <c r="C2" s="122"/>
      <c r="D2" s="23"/>
    </row>
    <row r="3" spans="1:9" s="15" customFormat="1" ht="15" customHeight="1" thickBot="1">
      <c r="A3" s="28" t="s">
        <v>56</v>
      </c>
      <c r="B3" s="28"/>
      <c r="C3" s="28"/>
      <c r="F3" s="16" t="s">
        <v>317</v>
      </c>
    </row>
    <row r="4" spans="1:9" s="35" customFormat="1" ht="15" customHeight="1" thickTop="1" thickBot="1">
      <c r="A4" s="179"/>
      <c r="B4" s="213"/>
      <c r="C4" s="209" t="s">
        <v>89</v>
      </c>
      <c r="D4" s="668" t="s">
        <v>6</v>
      </c>
      <c r="E4" s="669" t="s">
        <v>33</v>
      </c>
      <c r="F4" s="668" t="s">
        <v>32</v>
      </c>
    </row>
    <row r="5" spans="1:9" s="35" customFormat="1" ht="15" customHeight="1" thickTop="1">
      <c r="A5" s="190" t="s">
        <v>55</v>
      </c>
      <c r="B5" s="214"/>
      <c r="C5" s="180"/>
      <c r="D5" s="668"/>
      <c r="E5" s="669"/>
      <c r="F5" s="668"/>
    </row>
    <row r="6" spans="1:9" s="39" customFormat="1" ht="18" customHeight="1">
      <c r="A6" s="664" t="s">
        <v>31</v>
      </c>
      <c r="B6" s="664"/>
      <c r="C6" s="181"/>
      <c r="D6" s="183">
        <f>SUM(D8:D15)</f>
        <v>73117282</v>
      </c>
      <c r="E6" s="183">
        <f>F6-D6</f>
        <v>-819914</v>
      </c>
      <c r="F6" s="183">
        <f>SUM(F8:F15)</f>
        <v>72297368</v>
      </c>
    </row>
    <row r="7" spans="1:9" s="35" customFormat="1" ht="18" customHeight="1">
      <c r="A7" s="215"/>
      <c r="B7" s="36"/>
      <c r="C7" s="185"/>
      <c r="D7" s="188"/>
      <c r="E7" s="188"/>
      <c r="F7" s="188"/>
    </row>
    <row r="8" spans="1:9" s="35" customFormat="1" ht="18" customHeight="1">
      <c r="A8" s="215"/>
      <c r="B8" s="36" t="s">
        <v>64</v>
      </c>
      <c r="C8" s="185"/>
      <c r="D8" s="188">
        <v>15780942</v>
      </c>
      <c r="E8" s="188">
        <f t="shared" ref="E8:E15" si="0">F8-D8</f>
        <v>-1670411</v>
      </c>
      <c r="F8" s="188">
        <v>14110531</v>
      </c>
    </row>
    <row r="9" spans="1:9" s="35" customFormat="1" ht="18" customHeight="1">
      <c r="A9" s="215"/>
      <c r="B9" s="36" t="s">
        <v>63</v>
      </c>
      <c r="C9" s="185"/>
      <c r="D9" s="188">
        <v>4</v>
      </c>
      <c r="E9" s="188">
        <f t="shared" si="0"/>
        <v>0</v>
      </c>
      <c r="F9" s="188">
        <v>4</v>
      </c>
    </row>
    <row r="10" spans="1:9" s="35" customFormat="1" ht="18" customHeight="1">
      <c r="A10" s="215"/>
      <c r="B10" s="36" t="s">
        <v>43</v>
      </c>
      <c r="C10" s="185"/>
      <c r="D10" s="188">
        <v>168</v>
      </c>
      <c r="E10" s="188">
        <f t="shared" si="0"/>
        <v>-18</v>
      </c>
      <c r="F10" s="188">
        <v>150</v>
      </c>
    </row>
    <row r="11" spans="1:9" s="35" customFormat="1" ht="18" customHeight="1">
      <c r="A11" s="215"/>
      <c r="B11" s="36" t="s">
        <v>42</v>
      </c>
      <c r="C11" s="185"/>
      <c r="D11" s="188">
        <v>700</v>
      </c>
      <c r="E11" s="188">
        <f t="shared" si="0"/>
        <v>2799</v>
      </c>
      <c r="F11" s="188">
        <v>3499</v>
      </c>
    </row>
    <row r="12" spans="1:9" s="35" customFormat="1" ht="18" customHeight="1">
      <c r="A12" s="215"/>
      <c r="B12" s="36" t="s">
        <v>41</v>
      </c>
      <c r="C12" s="185"/>
      <c r="D12" s="188">
        <v>48404999</v>
      </c>
      <c r="E12" s="188">
        <f t="shared" si="0"/>
        <v>-1320724</v>
      </c>
      <c r="F12" s="188">
        <v>47084275</v>
      </c>
    </row>
    <row r="13" spans="1:9" s="35" customFormat="1" ht="18" customHeight="1">
      <c r="A13" s="215"/>
      <c r="B13" s="36" t="s">
        <v>38</v>
      </c>
      <c r="C13" s="185"/>
      <c r="D13" s="188">
        <v>8817752</v>
      </c>
      <c r="E13" s="188">
        <f t="shared" si="0"/>
        <v>1545756</v>
      </c>
      <c r="F13" s="188">
        <v>10363508</v>
      </c>
    </row>
    <row r="14" spans="1:9" s="35" customFormat="1" ht="18" customHeight="1">
      <c r="A14" s="215"/>
      <c r="B14" s="36" t="s">
        <v>37</v>
      </c>
      <c r="C14" s="185"/>
      <c r="D14" s="188">
        <v>1</v>
      </c>
      <c r="E14" s="188">
        <f t="shared" si="0"/>
        <v>664892</v>
      </c>
      <c r="F14" s="188">
        <v>664893</v>
      </c>
    </row>
    <row r="15" spans="1:9" s="35" customFormat="1" ht="18" customHeight="1">
      <c r="A15" s="216"/>
      <c r="B15" s="191" t="s">
        <v>36</v>
      </c>
      <c r="C15" s="192"/>
      <c r="D15" s="194">
        <v>112716</v>
      </c>
      <c r="E15" s="194">
        <f t="shared" si="0"/>
        <v>-42208</v>
      </c>
      <c r="F15" s="208">
        <v>70508</v>
      </c>
      <c r="G15" s="38"/>
      <c r="H15" s="38"/>
      <c r="I15" s="38"/>
    </row>
    <row r="16" spans="1:9" ht="15" customHeight="1">
      <c r="B16" s="119"/>
      <c r="C16" s="119"/>
      <c r="D16" s="25"/>
      <c r="E16" s="25"/>
      <c r="F16" s="25"/>
    </row>
    <row r="17" spans="1:9" ht="15" customHeight="1"/>
    <row r="18" spans="1:9" ht="15" customHeight="1"/>
    <row r="19" spans="1:9" ht="15" customHeight="1" thickBot="1">
      <c r="A19" s="28" t="s">
        <v>34</v>
      </c>
      <c r="C19" s="15"/>
      <c r="D19" s="15"/>
      <c r="E19" s="15"/>
      <c r="F19" s="16"/>
    </row>
    <row r="20" spans="1:9" s="35" customFormat="1" ht="15" customHeight="1" thickTop="1" thickBot="1">
      <c r="A20" s="179"/>
      <c r="B20" s="667" t="s">
        <v>89</v>
      </c>
      <c r="C20" s="667"/>
      <c r="D20" s="668" t="s">
        <v>6</v>
      </c>
      <c r="E20" s="668" t="s">
        <v>33</v>
      </c>
      <c r="F20" s="668" t="s">
        <v>32</v>
      </c>
    </row>
    <row r="21" spans="1:9" s="35" customFormat="1" ht="15" customHeight="1" thickTop="1">
      <c r="A21" s="190" t="s">
        <v>55</v>
      </c>
      <c r="B21" s="214"/>
      <c r="C21" s="180"/>
      <c r="D21" s="668"/>
      <c r="E21" s="668"/>
      <c r="F21" s="668"/>
    </row>
    <row r="22" spans="1:9" s="35" customFormat="1" ht="18" customHeight="1">
      <c r="A22" s="664" t="s">
        <v>31</v>
      </c>
      <c r="B22" s="664"/>
      <c r="C22" s="217"/>
      <c r="D22" s="187">
        <f>SUM(D24:D30)</f>
        <v>73117282</v>
      </c>
      <c r="E22" s="187">
        <f>F22-D22</f>
        <v>-819914</v>
      </c>
      <c r="F22" s="183">
        <f>SUM(F24:F30)</f>
        <v>72297368</v>
      </c>
    </row>
    <row r="23" spans="1:9" s="35" customFormat="1" ht="18" customHeight="1">
      <c r="A23" s="197"/>
      <c r="B23" s="36"/>
      <c r="C23" s="218"/>
      <c r="D23" s="189"/>
      <c r="E23" s="188"/>
      <c r="F23" s="189"/>
    </row>
    <row r="24" spans="1:9" s="35" customFormat="1" ht="18" customHeight="1">
      <c r="A24" s="197"/>
      <c r="B24" s="36" t="s">
        <v>62</v>
      </c>
      <c r="C24" s="218"/>
      <c r="D24" s="189">
        <v>1726587</v>
      </c>
      <c r="E24" s="188">
        <f t="shared" ref="E24:E30" si="1">F24-D24</f>
        <v>-96543</v>
      </c>
      <c r="F24" s="189">
        <v>1630044</v>
      </c>
    </row>
    <row r="25" spans="1:9" s="35" customFormat="1" ht="18" customHeight="1">
      <c r="A25" s="197"/>
      <c r="B25" s="36" t="s">
        <v>61</v>
      </c>
      <c r="C25" s="218"/>
      <c r="D25" s="189">
        <v>48072674</v>
      </c>
      <c r="E25" s="188">
        <f t="shared" si="1"/>
        <v>-1258922</v>
      </c>
      <c r="F25" s="189">
        <v>46813752</v>
      </c>
    </row>
    <row r="26" spans="1:9" s="35" customFormat="1" ht="18" customHeight="1">
      <c r="A26" s="197"/>
      <c r="B26" s="36" t="s">
        <v>321</v>
      </c>
      <c r="C26" s="218"/>
      <c r="D26" s="189">
        <v>22352138</v>
      </c>
      <c r="E26" s="188">
        <f t="shared" si="1"/>
        <v>-54778</v>
      </c>
      <c r="F26" s="189">
        <v>22297360</v>
      </c>
    </row>
    <row r="27" spans="1:9" s="35" customFormat="1" ht="18" customHeight="1">
      <c r="A27" s="197"/>
      <c r="B27" s="36" t="s">
        <v>60</v>
      </c>
      <c r="C27" s="218"/>
      <c r="D27" s="189">
        <v>8</v>
      </c>
      <c r="E27" s="188">
        <f t="shared" si="1"/>
        <v>0</v>
      </c>
      <c r="F27" s="189">
        <v>8</v>
      </c>
    </row>
    <row r="28" spans="1:9" s="35" customFormat="1" ht="18" customHeight="1">
      <c r="A28" s="197"/>
      <c r="B28" s="36" t="s">
        <v>59</v>
      </c>
      <c r="C28" s="218"/>
      <c r="D28" s="189">
        <v>631263</v>
      </c>
      <c r="E28" s="188">
        <f t="shared" si="1"/>
        <v>-47564</v>
      </c>
      <c r="F28" s="189">
        <v>583699</v>
      </c>
    </row>
    <row r="29" spans="1:9" s="35" customFormat="1" ht="18" customHeight="1">
      <c r="A29" s="197"/>
      <c r="B29" s="36" t="s">
        <v>58</v>
      </c>
      <c r="C29" s="218"/>
      <c r="D29" s="189">
        <v>134612</v>
      </c>
      <c r="E29" s="188">
        <f t="shared" si="1"/>
        <v>637893</v>
      </c>
      <c r="F29" s="189">
        <v>772505</v>
      </c>
    </row>
    <row r="30" spans="1:9" s="35" customFormat="1" ht="18" customHeight="1">
      <c r="A30" s="219"/>
      <c r="B30" s="191" t="s">
        <v>57</v>
      </c>
      <c r="C30" s="220"/>
      <c r="D30" s="193">
        <v>200000</v>
      </c>
      <c r="E30" s="194">
        <f t="shared" si="1"/>
        <v>0</v>
      </c>
      <c r="F30" s="193">
        <v>200000</v>
      </c>
      <c r="G30" s="38"/>
      <c r="H30" s="38"/>
      <c r="I30" s="38"/>
    </row>
    <row r="31" spans="1:9" ht="15" customHeight="1">
      <c r="A31" s="119" t="s">
        <v>312</v>
      </c>
      <c r="B31" s="25"/>
      <c r="C31" s="25"/>
      <c r="D31" s="25"/>
      <c r="E31" s="25"/>
      <c r="F31" s="16" t="s">
        <v>277</v>
      </c>
    </row>
  </sheetData>
  <mergeCells count="9">
    <mergeCell ref="A22:B22"/>
    <mergeCell ref="D4:D5"/>
    <mergeCell ref="E4:E5"/>
    <mergeCell ref="F4:F5"/>
    <mergeCell ref="A6:B6"/>
    <mergeCell ref="B20:C20"/>
    <mergeCell ref="D20:D21"/>
    <mergeCell ref="E20:E21"/>
    <mergeCell ref="F20:F21"/>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view="pageBreakPreview" zoomScale="110" zoomScaleNormal="85" zoomScaleSheetLayoutView="110" workbookViewId="0">
      <selection activeCell="G23" sqref="G23:G27"/>
    </sheetView>
  </sheetViews>
  <sheetFormatPr defaultColWidth="9" defaultRowHeight="13.2"/>
  <cols>
    <col min="1" max="1" width="0.88671875" style="1" customWidth="1"/>
    <col min="2" max="2" width="1.88671875" style="1" customWidth="1"/>
    <col min="3" max="3" width="23.109375" style="1" customWidth="1"/>
    <col min="4" max="4" width="0.88671875" style="1" customWidth="1"/>
    <col min="5" max="7" width="20.109375" style="1" customWidth="1"/>
    <col min="8" max="8" width="13.44140625" style="1" customWidth="1"/>
    <col min="9" max="9" width="15.33203125" style="1" bestFit="1" customWidth="1"/>
    <col min="10" max="10" width="13.44140625" style="1" customWidth="1"/>
    <col min="11" max="16384" width="9" style="1"/>
  </cols>
  <sheetData>
    <row r="1" spans="1:10" ht="15" customHeight="1">
      <c r="A1" s="122" t="s">
        <v>322</v>
      </c>
      <c r="B1" s="122"/>
      <c r="D1" s="122"/>
      <c r="E1" s="23"/>
    </row>
    <row r="2" spans="1:10" ht="5.0999999999999996" customHeight="1">
      <c r="A2" s="122"/>
      <c r="B2" s="122"/>
      <c r="D2" s="122"/>
      <c r="E2" s="23"/>
    </row>
    <row r="3" spans="1:10" s="15" customFormat="1" ht="15" customHeight="1" thickBot="1">
      <c r="A3" s="28" t="s">
        <v>56</v>
      </c>
      <c r="B3" s="28"/>
      <c r="D3" s="28"/>
      <c r="G3" s="16" t="s">
        <v>317</v>
      </c>
    </row>
    <row r="4" spans="1:10" s="35" customFormat="1" ht="15" customHeight="1" thickTop="1">
      <c r="A4" s="179"/>
      <c r="B4" s="213"/>
      <c r="C4" s="666" t="s">
        <v>89</v>
      </c>
      <c r="D4" s="667"/>
      <c r="E4" s="660" t="s">
        <v>6</v>
      </c>
      <c r="F4" s="660" t="s">
        <v>33</v>
      </c>
      <c r="G4" s="660" t="s">
        <v>32</v>
      </c>
    </row>
    <row r="5" spans="1:10" s="35" customFormat="1" ht="15" customHeight="1">
      <c r="A5" s="190" t="s">
        <v>55</v>
      </c>
      <c r="B5" s="214"/>
      <c r="C5" s="214"/>
      <c r="D5" s="180"/>
      <c r="E5" s="661"/>
      <c r="F5" s="661"/>
      <c r="G5" s="661"/>
    </row>
    <row r="6" spans="1:10" s="28" customFormat="1" ht="15" customHeight="1">
      <c r="A6" s="221"/>
      <c r="B6" s="665" t="s">
        <v>31</v>
      </c>
      <c r="C6" s="665"/>
      <c r="D6" s="181"/>
      <c r="E6" s="183">
        <f>SUM(E8:E16)</f>
        <v>73007871</v>
      </c>
      <c r="F6" s="183">
        <f>G6-E6</f>
        <v>-3982650</v>
      </c>
      <c r="G6" s="183">
        <f>SUM(G8:G16)</f>
        <v>69025221</v>
      </c>
    </row>
    <row r="7" spans="1:10" s="30" customFormat="1" ht="15" customHeight="1">
      <c r="A7" s="184"/>
      <c r="C7" s="36"/>
      <c r="D7" s="185"/>
      <c r="E7" s="188"/>
      <c r="F7" s="188"/>
      <c r="G7" s="188"/>
    </row>
    <row r="8" spans="1:10" s="30" customFormat="1" ht="15" customHeight="1">
      <c r="A8" s="184"/>
      <c r="C8" s="36" t="s">
        <v>67</v>
      </c>
      <c r="D8" s="185"/>
      <c r="E8" s="188">
        <v>12060884</v>
      </c>
      <c r="F8" s="188">
        <f t="shared" ref="F8:F16" si="0">G8-E8</f>
        <v>0</v>
      </c>
      <c r="G8" s="188">
        <v>12060884</v>
      </c>
    </row>
    <row r="9" spans="1:10" s="30" customFormat="1" ht="15" customHeight="1">
      <c r="A9" s="184"/>
      <c r="C9" s="36" t="s">
        <v>43</v>
      </c>
      <c r="D9" s="185"/>
      <c r="E9" s="188">
        <v>1</v>
      </c>
      <c r="F9" s="188">
        <f t="shared" si="0"/>
        <v>0</v>
      </c>
      <c r="G9" s="188">
        <v>1</v>
      </c>
    </row>
    <row r="10" spans="1:10" s="30" customFormat="1" ht="15" customHeight="1">
      <c r="A10" s="184"/>
      <c r="C10" s="36" t="s">
        <v>42</v>
      </c>
      <c r="D10" s="185"/>
      <c r="E10" s="188">
        <v>16858906</v>
      </c>
      <c r="F10" s="188">
        <f t="shared" si="0"/>
        <v>-1418707</v>
      </c>
      <c r="G10" s="188">
        <v>15440199</v>
      </c>
    </row>
    <row r="11" spans="1:10" s="30" customFormat="1" ht="15" customHeight="1">
      <c r="A11" s="184"/>
      <c r="C11" s="36" t="s">
        <v>41</v>
      </c>
      <c r="D11" s="185"/>
      <c r="E11" s="188">
        <v>10378706</v>
      </c>
      <c r="F11" s="188">
        <f t="shared" si="0"/>
        <v>-881534</v>
      </c>
      <c r="G11" s="188">
        <v>9497172</v>
      </c>
    </row>
    <row r="12" spans="1:10" s="30" customFormat="1" ht="15" customHeight="1">
      <c r="A12" s="184"/>
      <c r="C12" s="36" t="s">
        <v>66</v>
      </c>
      <c r="D12" s="185"/>
      <c r="E12" s="189">
        <v>18988472</v>
      </c>
      <c r="F12" s="188">
        <f t="shared" si="0"/>
        <v>-1847888</v>
      </c>
      <c r="G12" s="188">
        <v>17140584</v>
      </c>
    </row>
    <row r="13" spans="1:10" s="30" customFormat="1" ht="15" customHeight="1">
      <c r="A13" s="184"/>
      <c r="C13" s="36" t="s">
        <v>40</v>
      </c>
      <c r="D13" s="185"/>
      <c r="E13" s="189">
        <v>3470</v>
      </c>
      <c r="F13" s="188">
        <f t="shared" si="0"/>
        <v>290</v>
      </c>
      <c r="G13" s="188">
        <v>3760</v>
      </c>
    </row>
    <row r="14" spans="1:10" s="30" customFormat="1" ht="15" customHeight="1">
      <c r="A14" s="184"/>
      <c r="C14" s="36" t="s">
        <v>38</v>
      </c>
      <c r="D14" s="185"/>
      <c r="E14" s="188">
        <v>14694733</v>
      </c>
      <c r="F14" s="188">
        <f t="shared" si="0"/>
        <v>-2448999</v>
      </c>
      <c r="G14" s="188">
        <v>12245734</v>
      </c>
    </row>
    <row r="15" spans="1:10" s="30" customFormat="1" ht="15" customHeight="1">
      <c r="A15" s="184"/>
      <c r="C15" s="36" t="s">
        <v>37</v>
      </c>
      <c r="D15" s="185"/>
      <c r="E15" s="188">
        <v>2</v>
      </c>
      <c r="F15" s="188">
        <f t="shared" si="0"/>
        <v>2614188</v>
      </c>
      <c r="G15" s="202">
        <v>2614190</v>
      </c>
    </row>
    <row r="16" spans="1:10" s="30" customFormat="1" ht="15" customHeight="1">
      <c r="A16" s="190"/>
      <c r="B16" s="214"/>
      <c r="C16" s="222" t="s">
        <v>36</v>
      </c>
      <c r="D16" s="192"/>
      <c r="E16" s="194">
        <v>22697</v>
      </c>
      <c r="F16" s="194">
        <f t="shared" si="0"/>
        <v>0</v>
      </c>
      <c r="G16" s="208">
        <v>22697</v>
      </c>
      <c r="H16" s="33"/>
      <c r="I16" s="33"/>
      <c r="J16" s="33"/>
    </row>
    <row r="17" spans="1:10" s="10" customFormat="1" ht="15" customHeight="1"/>
    <row r="18" spans="1:10" s="10" customFormat="1" ht="15" customHeight="1" thickBot="1">
      <c r="A18" s="28" t="s">
        <v>34</v>
      </c>
      <c r="B18" s="28"/>
      <c r="D18" s="28"/>
      <c r="E18" s="15"/>
      <c r="F18" s="15"/>
    </row>
    <row r="19" spans="1:10" s="35" customFormat="1" ht="15" customHeight="1" thickTop="1">
      <c r="A19" s="179"/>
      <c r="B19" s="213"/>
      <c r="C19" s="666" t="s">
        <v>89</v>
      </c>
      <c r="D19" s="667"/>
      <c r="E19" s="660" t="s">
        <v>6</v>
      </c>
      <c r="F19" s="660" t="s">
        <v>33</v>
      </c>
      <c r="G19" s="660" t="s">
        <v>32</v>
      </c>
    </row>
    <row r="20" spans="1:10" s="35" customFormat="1" ht="15" customHeight="1">
      <c r="A20" s="190" t="s">
        <v>55</v>
      </c>
      <c r="B20" s="214"/>
      <c r="C20" s="214"/>
      <c r="D20" s="180"/>
      <c r="E20" s="661"/>
      <c r="F20" s="661"/>
      <c r="G20" s="661"/>
    </row>
    <row r="21" spans="1:10" s="35" customFormat="1" ht="15" customHeight="1">
      <c r="A21" s="197"/>
      <c r="B21" s="665" t="s">
        <v>31</v>
      </c>
      <c r="C21" s="665"/>
      <c r="D21" s="223"/>
      <c r="E21" s="187">
        <f>SUM(E23:E27)</f>
        <v>73007871</v>
      </c>
      <c r="F21" s="187">
        <f>G21-E21</f>
        <v>-3982650</v>
      </c>
      <c r="G21" s="183">
        <f>SUM(G23:G27)</f>
        <v>69025221</v>
      </c>
    </row>
    <row r="22" spans="1:10" s="35" customFormat="1" ht="15" customHeight="1">
      <c r="A22" s="197"/>
      <c r="C22" s="36"/>
      <c r="D22" s="185"/>
      <c r="E22" s="189"/>
      <c r="F22" s="188"/>
      <c r="G22" s="189"/>
    </row>
    <row r="23" spans="1:10" s="35" customFormat="1" ht="15" customHeight="1">
      <c r="A23" s="197"/>
      <c r="C23" s="36" t="s">
        <v>29</v>
      </c>
      <c r="D23" s="185"/>
      <c r="E23" s="189">
        <v>1447903</v>
      </c>
      <c r="F23" s="188">
        <f>G23-E23</f>
        <v>-12866</v>
      </c>
      <c r="G23" s="189">
        <v>1435037</v>
      </c>
    </row>
    <row r="24" spans="1:10" s="35" customFormat="1" ht="15" customHeight="1">
      <c r="A24" s="197"/>
      <c r="C24" s="36" t="s">
        <v>61</v>
      </c>
      <c r="D24" s="185"/>
      <c r="E24" s="189">
        <v>67923546</v>
      </c>
      <c r="F24" s="188">
        <f>G24-E24</f>
        <v>-5700000</v>
      </c>
      <c r="G24" s="189">
        <v>62223546</v>
      </c>
    </row>
    <row r="25" spans="1:10" s="35" customFormat="1" ht="15" customHeight="1">
      <c r="A25" s="197"/>
      <c r="C25" s="36" t="s">
        <v>65</v>
      </c>
      <c r="D25" s="185"/>
      <c r="E25" s="189">
        <v>3470</v>
      </c>
      <c r="F25" s="188">
        <f>G25-E25</f>
        <v>1218698</v>
      </c>
      <c r="G25" s="189">
        <v>1222168</v>
      </c>
    </row>
    <row r="26" spans="1:10" s="35" customFormat="1" ht="15" customHeight="1">
      <c r="A26" s="197"/>
      <c r="C26" s="36" t="s">
        <v>247</v>
      </c>
      <c r="D26" s="185"/>
      <c r="E26" s="189">
        <v>3595176</v>
      </c>
      <c r="F26" s="188">
        <f>G26-E26</f>
        <v>-857417</v>
      </c>
      <c r="G26" s="189">
        <v>2737759</v>
      </c>
    </row>
    <row r="27" spans="1:10" s="35" customFormat="1" ht="15" customHeight="1">
      <c r="A27" s="219"/>
      <c r="B27" s="224"/>
      <c r="C27" s="191" t="s">
        <v>22</v>
      </c>
      <c r="D27" s="192"/>
      <c r="E27" s="193">
        <v>37776</v>
      </c>
      <c r="F27" s="194">
        <f>G27-E27</f>
        <v>1368935</v>
      </c>
      <c r="G27" s="193">
        <v>1406711</v>
      </c>
      <c r="H27" s="38"/>
      <c r="I27" s="38"/>
      <c r="J27" s="38"/>
    </row>
    <row r="28" spans="1:10" ht="15" customHeight="1">
      <c r="A28" s="119" t="s">
        <v>312</v>
      </c>
      <c r="B28" s="119"/>
      <c r="C28" s="25"/>
      <c r="D28" s="25"/>
      <c r="E28" s="25"/>
      <c r="F28" s="25"/>
      <c r="G28" s="16" t="s">
        <v>277</v>
      </c>
    </row>
    <row r="29" spans="1:10">
      <c r="C29" s="10"/>
      <c r="D29" s="10"/>
      <c r="E29" s="13"/>
      <c r="F29" s="10"/>
      <c r="G29" s="10"/>
    </row>
  </sheetData>
  <mergeCells count="10">
    <mergeCell ref="B21:C21"/>
    <mergeCell ref="C4:D4"/>
    <mergeCell ref="E4:E5"/>
    <mergeCell ref="F4:F5"/>
    <mergeCell ref="G4:G5"/>
    <mergeCell ref="B6:C6"/>
    <mergeCell ref="C19:D19"/>
    <mergeCell ref="E19:E20"/>
    <mergeCell ref="F19:F20"/>
    <mergeCell ref="G19:G20"/>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106" zoomScaleNormal="100" zoomScaleSheetLayoutView="106" workbookViewId="0">
      <selection activeCell="E15" sqref="E15"/>
    </sheetView>
  </sheetViews>
  <sheetFormatPr defaultColWidth="9" defaultRowHeight="13.2"/>
  <cols>
    <col min="1" max="1" width="0.88671875" style="1" customWidth="1"/>
    <col min="2" max="2" width="1.88671875" style="1" customWidth="1"/>
    <col min="3" max="3" width="23.109375" style="1" customWidth="1"/>
    <col min="4" max="4" width="0.88671875" style="1" customWidth="1"/>
    <col min="5" max="7" width="20.109375" style="1" customWidth="1"/>
    <col min="8" max="10" width="15" style="1" customWidth="1"/>
    <col min="11" max="16384" width="9" style="1"/>
  </cols>
  <sheetData>
    <row r="1" spans="1:10" ht="15" customHeight="1">
      <c r="B1" s="122" t="s">
        <v>323</v>
      </c>
      <c r="C1" s="122"/>
      <c r="D1" s="122"/>
      <c r="E1" s="23"/>
    </row>
    <row r="2" spans="1:10" ht="5.0999999999999996" customHeight="1">
      <c r="B2" s="122"/>
      <c r="C2" s="122"/>
      <c r="D2" s="122"/>
      <c r="E2" s="23"/>
    </row>
    <row r="3" spans="1:10" s="15" customFormat="1" ht="15" customHeight="1" thickBot="1">
      <c r="B3" s="28" t="s">
        <v>56</v>
      </c>
      <c r="C3" s="28"/>
      <c r="D3" s="28"/>
      <c r="G3" s="16" t="s">
        <v>317</v>
      </c>
    </row>
    <row r="4" spans="1:10" s="35" customFormat="1" ht="15" customHeight="1" thickTop="1" thickBot="1">
      <c r="A4" s="225"/>
      <c r="B4" s="213"/>
      <c r="C4" s="667" t="s">
        <v>89</v>
      </c>
      <c r="D4" s="667"/>
      <c r="E4" s="668" t="s">
        <v>6</v>
      </c>
      <c r="F4" s="669" t="s">
        <v>33</v>
      </c>
      <c r="G4" s="668" t="s">
        <v>32</v>
      </c>
    </row>
    <row r="5" spans="1:10" s="35" customFormat="1" ht="15" customHeight="1" thickTop="1">
      <c r="A5" s="197"/>
      <c r="B5" s="30" t="s">
        <v>55</v>
      </c>
      <c r="C5" s="30"/>
      <c r="D5" s="180"/>
      <c r="E5" s="668"/>
      <c r="F5" s="669"/>
      <c r="G5" s="668"/>
    </row>
    <row r="6" spans="1:10" s="28" customFormat="1" ht="15" customHeight="1">
      <c r="A6" s="226"/>
      <c r="B6" s="665" t="s">
        <v>31</v>
      </c>
      <c r="C6" s="665"/>
      <c r="D6" s="181"/>
      <c r="E6" s="183">
        <f>SUM(E8:E13)</f>
        <v>18091956</v>
      </c>
      <c r="F6" s="183">
        <f>G6-E6</f>
        <v>-403863</v>
      </c>
      <c r="G6" s="183">
        <f>SUM(G8:G13)</f>
        <v>17688093</v>
      </c>
    </row>
    <row r="7" spans="1:10" s="30" customFormat="1" ht="15" customHeight="1">
      <c r="A7" s="184"/>
      <c r="C7" s="36"/>
      <c r="D7" s="185"/>
      <c r="E7" s="188"/>
      <c r="F7" s="188"/>
      <c r="G7" s="188"/>
    </row>
    <row r="8" spans="1:10" s="35" customFormat="1" ht="15" customHeight="1">
      <c r="A8" s="197"/>
      <c r="C8" s="40" t="s">
        <v>269</v>
      </c>
      <c r="D8" s="227"/>
      <c r="E8" s="188">
        <v>7226049</v>
      </c>
      <c r="F8" s="188">
        <f t="shared" ref="F8:F13" si="0">G8-E8</f>
        <v>-47721</v>
      </c>
      <c r="G8" s="188">
        <v>7178328</v>
      </c>
    </row>
    <row r="9" spans="1:10" s="30" customFormat="1" ht="15" customHeight="1">
      <c r="A9" s="184"/>
      <c r="C9" s="36" t="s">
        <v>43</v>
      </c>
      <c r="D9" s="185"/>
      <c r="E9" s="188">
        <v>1</v>
      </c>
      <c r="F9" s="188">
        <f t="shared" si="0"/>
        <v>14</v>
      </c>
      <c r="G9" s="188">
        <v>15</v>
      </c>
    </row>
    <row r="10" spans="1:10" s="30" customFormat="1" ht="15" customHeight="1">
      <c r="A10" s="184"/>
      <c r="C10" s="36" t="s">
        <v>267</v>
      </c>
      <c r="D10" s="185"/>
      <c r="E10" s="189">
        <v>26001</v>
      </c>
      <c r="F10" s="188">
        <f t="shared" si="0"/>
        <v>28240</v>
      </c>
      <c r="G10" s="188">
        <v>54241</v>
      </c>
    </row>
    <row r="11" spans="1:10" s="30" customFormat="1" ht="15" customHeight="1">
      <c r="A11" s="184"/>
      <c r="C11" s="36" t="s">
        <v>38</v>
      </c>
      <c r="D11" s="185"/>
      <c r="E11" s="188">
        <v>10200256</v>
      </c>
      <c r="F11" s="188">
        <f t="shared" si="0"/>
        <v>-443822</v>
      </c>
      <c r="G11" s="188">
        <v>9756434</v>
      </c>
    </row>
    <row r="12" spans="1:10" s="30" customFormat="1" ht="15" customHeight="1">
      <c r="A12" s="184"/>
      <c r="C12" s="36" t="s">
        <v>37</v>
      </c>
      <c r="D12" s="185"/>
      <c r="E12" s="188">
        <v>1</v>
      </c>
      <c r="F12" s="188">
        <f t="shared" si="0"/>
        <v>84916</v>
      </c>
      <c r="G12" s="188">
        <v>84917</v>
      </c>
    </row>
    <row r="13" spans="1:10" s="30" customFormat="1" ht="15" customHeight="1">
      <c r="A13" s="190"/>
      <c r="B13" s="214"/>
      <c r="C13" s="191" t="s">
        <v>36</v>
      </c>
      <c r="D13" s="192"/>
      <c r="E13" s="194">
        <v>639648</v>
      </c>
      <c r="F13" s="194">
        <f t="shared" si="0"/>
        <v>-25490</v>
      </c>
      <c r="G13" s="194">
        <v>614158</v>
      </c>
      <c r="H13" s="33"/>
      <c r="I13" s="33"/>
      <c r="J13" s="33"/>
    </row>
    <row r="14" spans="1:10" s="10" customFormat="1" ht="15" customHeight="1"/>
    <row r="15" spans="1:10" s="10" customFormat="1" ht="15" customHeight="1" thickBot="1">
      <c r="B15" s="28" t="s">
        <v>34</v>
      </c>
      <c r="D15" s="28"/>
      <c r="E15" s="15"/>
      <c r="F15" s="15"/>
    </row>
    <row r="16" spans="1:10" s="35" customFormat="1" ht="15" customHeight="1" thickTop="1" thickBot="1">
      <c r="A16" s="225"/>
      <c r="B16" s="213"/>
      <c r="C16" s="667" t="s">
        <v>89</v>
      </c>
      <c r="D16" s="667"/>
      <c r="E16" s="668" t="s">
        <v>6</v>
      </c>
      <c r="F16" s="669" t="s">
        <v>33</v>
      </c>
      <c r="G16" s="668" t="s">
        <v>32</v>
      </c>
    </row>
    <row r="17" spans="1:10" s="35" customFormat="1" ht="15" customHeight="1" thickTop="1">
      <c r="A17" s="197"/>
      <c r="B17" s="30" t="s">
        <v>55</v>
      </c>
      <c r="C17" s="30"/>
      <c r="D17" s="180"/>
      <c r="E17" s="668"/>
      <c r="F17" s="669"/>
      <c r="G17" s="668"/>
    </row>
    <row r="18" spans="1:10" s="35" customFormat="1" ht="15" customHeight="1">
      <c r="A18" s="228"/>
      <c r="B18" s="665" t="s">
        <v>31</v>
      </c>
      <c r="C18" s="665"/>
      <c r="D18" s="223"/>
      <c r="E18" s="187">
        <f>SUM(E20:E25)</f>
        <v>18091956</v>
      </c>
      <c r="F18" s="187">
        <f>G18-E18</f>
        <v>-403863</v>
      </c>
      <c r="G18" s="183">
        <f>SUM(G20:G25)</f>
        <v>17688093</v>
      </c>
    </row>
    <row r="19" spans="1:10" s="35" customFormat="1" ht="15" customHeight="1">
      <c r="A19" s="197"/>
      <c r="C19" s="36"/>
      <c r="D19" s="185"/>
      <c r="E19" s="189"/>
      <c r="F19" s="188"/>
      <c r="G19" s="189"/>
    </row>
    <row r="20" spans="1:10" s="35" customFormat="1" ht="15" customHeight="1">
      <c r="A20" s="197"/>
      <c r="C20" s="36" t="s">
        <v>29</v>
      </c>
      <c r="D20" s="185"/>
      <c r="E20" s="189">
        <v>393253</v>
      </c>
      <c r="F20" s="188">
        <f t="shared" ref="F20:F25" si="1">G20-E20</f>
        <v>-9945</v>
      </c>
      <c r="G20" s="189">
        <v>383308</v>
      </c>
    </row>
    <row r="21" spans="1:10" s="35" customFormat="1" ht="15" customHeight="1">
      <c r="A21" s="197"/>
      <c r="C21" s="36" t="s">
        <v>61</v>
      </c>
      <c r="D21" s="185"/>
      <c r="E21" s="189">
        <v>371000</v>
      </c>
      <c r="F21" s="188">
        <f t="shared" si="1"/>
        <v>7000</v>
      </c>
      <c r="G21" s="189">
        <v>378000</v>
      </c>
    </row>
    <row r="22" spans="1:10" s="35" customFormat="1" ht="15" customHeight="1">
      <c r="A22" s="197"/>
      <c r="C22" s="36" t="s">
        <v>44</v>
      </c>
      <c r="D22" s="185"/>
      <c r="E22" s="189">
        <v>16612390</v>
      </c>
      <c r="F22" s="188">
        <f t="shared" si="1"/>
        <v>-435558</v>
      </c>
      <c r="G22" s="189">
        <v>16176832</v>
      </c>
    </row>
    <row r="23" spans="1:10" s="35" customFormat="1" ht="15" customHeight="1">
      <c r="A23" s="197"/>
      <c r="C23" s="36" t="s">
        <v>59</v>
      </c>
      <c r="D23" s="185"/>
      <c r="E23" s="189">
        <v>657511</v>
      </c>
      <c r="F23" s="188">
        <f t="shared" si="1"/>
        <v>-51644</v>
      </c>
      <c r="G23" s="189">
        <v>605867</v>
      </c>
    </row>
    <row r="24" spans="1:10" s="35" customFormat="1" ht="15" customHeight="1">
      <c r="A24" s="197"/>
      <c r="C24" s="36" t="s">
        <v>22</v>
      </c>
      <c r="D24" s="185"/>
      <c r="E24" s="189">
        <v>27802</v>
      </c>
      <c r="F24" s="188">
        <f t="shared" si="1"/>
        <v>86284</v>
      </c>
      <c r="G24" s="189">
        <v>114086</v>
      </c>
    </row>
    <row r="25" spans="1:10" s="35" customFormat="1" ht="15" customHeight="1">
      <c r="A25" s="219"/>
      <c r="B25" s="224"/>
      <c r="C25" s="191" t="s">
        <v>21</v>
      </c>
      <c r="D25" s="192"/>
      <c r="E25" s="193">
        <v>30000</v>
      </c>
      <c r="F25" s="194">
        <f t="shared" si="1"/>
        <v>0</v>
      </c>
      <c r="G25" s="193">
        <v>30000</v>
      </c>
      <c r="H25" s="38"/>
      <c r="I25" s="38"/>
      <c r="J25" s="38"/>
    </row>
    <row r="26" spans="1:10" ht="15" customHeight="1">
      <c r="B26" s="119" t="s">
        <v>312</v>
      </c>
      <c r="C26" s="25"/>
      <c r="D26" s="229"/>
      <c r="E26" s="229"/>
      <c r="F26" s="229"/>
      <c r="G26" s="230" t="s">
        <v>277</v>
      </c>
    </row>
  </sheetData>
  <mergeCells count="10">
    <mergeCell ref="B18:C18"/>
    <mergeCell ref="C4:D4"/>
    <mergeCell ref="E4:E5"/>
    <mergeCell ref="F4:F5"/>
    <mergeCell ref="G4:G5"/>
    <mergeCell ref="B6:C6"/>
    <mergeCell ref="C16:D16"/>
    <mergeCell ref="E16:E17"/>
    <mergeCell ref="F16:F17"/>
    <mergeCell ref="G16:G17"/>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B0D8-DA16-4E02-905D-EED05B84E597}">
  <dimension ref="A1:IV45"/>
  <sheetViews>
    <sheetView view="pageBreakPreview" zoomScaleNormal="115" zoomScaleSheetLayoutView="100" workbookViewId="0">
      <selection activeCell="Q37" sqref="Q37"/>
    </sheetView>
  </sheetViews>
  <sheetFormatPr defaultColWidth="9" defaultRowHeight="13.2"/>
  <cols>
    <col min="1" max="1" width="6" style="1" customWidth="1"/>
    <col min="2" max="2" width="7.88671875" style="1" customWidth="1"/>
    <col min="3" max="3" width="7.44140625" style="1" customWidth="1"/>
    <col min="4" max="4" width="6.6640625" style="1" customWidth="1"/>
    <col min="5" max="5" width="5.88671875" style="1" customWidth="1"/>
    <col min="6" max="6" width="6.77734375" style="1" customWidth="1"/>
    <col min="7" max="7" width="4.21875" style="1" customWidth="1"/>
    <col min="8" max="8" width="4.109375" style="1" customWidth="1"/>
    <col min="9" max="9" width="4.33203125" style="1" customWidth="1"/>
    <col min="10" max="10" width="6" style="1" customWidth="1"/>
    <col min="11" max="11" width="7.6640625" style="1" customWidth="1"/>
    <col min="12" max="12" width="6.77734375" style="1" customWidth="1"/>
    <col min="13" max="13" width="5.88671875" style="1" customWidth="1"/>
    <col min="14" max="14" width="9.33203125" style="1" customWidth="1"/>
    <col min="15" max="16384" width="9" style="1"/>
  </cols>
  <sheetData>
    <row r="1" spans="1:256">
      <c r="A1" s="122" t="s">
        <v>324</v>
      </c>
      <c r="B1" s="15"/>
      <c r="C1" s="15"/>
      <c r="D1" s="15"/>
    </row>
    <row r="2" spans="1:256" ht="13.8" thickBot="1">
      <c r="A2" s="28" t="s">
        <v>325</v>
      </c>
      <c r="B2" s="15"/>
      <c r="C2" s="15"/>
      <c r="D2" s="15"/>
      <c r="E2" s="15"/>
      <c r="F2" s="48"/>
      <c r="G2" s="15"/>
      <c r="H2" s="15"/>
      <c r="I2" s="15"/>
      <c r="J2" s="15"/>
      <c r="K2" s="15"/>
      <c r="L2" s="15"/>
      <c r="M2" s="70"/>
      <c r="N2" s="16" t="s">
        <v>326</v>
      </c>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5.0999999999999996" customHeight="1" thickTop="1">
      <c r="A3" s="231"/>
      <c r="B3" s="232"/>
      <c r="C3" s="232"/>
      <c r="D3" s="232"/>
      <c r="E3" s="232"/>
      <c r="F3" s="233"/>
      <c r="G3" s="232"/>
      <c r="H3" s="232"/>
      <c r="I3" s="232"/>
      <c r="J3" s="232"/>
      <c r="K3" s="234"/>
      <c r="L3" s="235"/>
      <c r="M3" s="236"/>
      <c r="N3" s="237"/>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ht="13.5" customHeight="1">
      <c r="A4" s="238" t="s">
        <v>89</v>
      </c>
      <c r="B4" s="671" t="s">
        <v>327</v>
      </c>
      <c r="C4" s="671" t="s">
        <v>328</v>
      </c>
      <c r="D4" s="671" t="s">
        <v>329</v>
      </c>
      <c r="E4" s="671" t="s">
        <v>330</v>
      </c>
      <c r="F4" s="671" t="s">
        <v>331</v>
      </c>
      <c r="G4" s="671" t="s">
        <v>332</v>
      </c>
      <c r="H4" s="671" t="s">
        <v>333</v>
      </c>
      <c r="I4" s="671" t="s">
        <v>334</v>
      </c>
      <c r="J4" s="671" t="s">
        <v>335</v>
      </c>
      <c r="K4" s="672" t="s">
        <v>336</v>
      </c>
      <c r="L4" s="47"/>
      <c r="M4" s="47"/>
      <c r="N4" s="239"/>
    </row>
    <row r="5" spans="1:256" ht="13.5" customHeight="1">
      <c r="A5" s="240"/>
      <c r="B5" s="671"/>
      <c r="C5" s="671"/>
      <c r="D5" s="671"/>
      <c r="E5" s="671"/>
      <c r="F5" s="671"/>
      <c r="G5" s="671"/>
      <c r="H5" s="671"/>
      <c r="I5" s="671"/>
      <c r="J5" s="671"/>
      <c r="K5" s="672"/>
      <c r="L5" s="670" t="s">
        <v>337</v>
      </c>
      <c r="M5" s="670" t="s">
        <v>338</v>
      </c>
      <c r="N5" s="670" t="s">
        <v>339</v>
      </c>
    </row>
    <row r="6" spans="1:256">
      <c r="A6" s="240"/>
      <c r="B6" s="671"/>
      <c r="C6" s="671"/>
      <c r="D6" s="671"/>
      <c r="E6" s="671"/>
      <c r="F6" s="671"/>
      <c r="G6" s="671"/>
      <c r="H6" s="671"/>
      <c r="I6" s="671"/>
      <c r="J6" s="671"/>
      <c r="K6" s="672"/>
      <c r="L6" s="670"/>
      <c r="M6" s="670"/>
      <c r="N6" s="670"/>
    </row>
    <row r="7" spans="1:256">
      <c r="A7" s="241" t="s">
        <v>340</v>
      </c>
      <c r="B7" s="242" t="s">
        <v>341</v>
      </c>
      <c r="C7" s="242" t="s">
        <v>342</v>
      </c>
      <c r="D7" s="242" t="s">
        <v>343</v>
      </c>
      <c r="E7" s="243" t="s">
        <v>344</v>
      </c>
      <c r="F7" s="244" t="s">
        <v>345</v>
      </c>
      <c r="G7" s="245" t="s">
        <v>346</v>
      </c>
      <c r="H7" s="245" t="s">
        <v>346</v>
      </c>
      <c r="I7" s="245" t="s">
        <v>346</v>
      </c>
      <c r="J7" s="245"/>
      <c r="K7" s="245"/>
      <c r="L7" s="245"/>
      <c r="M7" s="245"/>
      <c r="N7" s="24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1:256">
      <c r="A8" s="246" t="s">
        <v>88</v>
      </c>
      <c r="B8" s="247">
        <v>340841</v>
      </c>
      <c r="C8" s="247">
        <v>326844</v>
      </c>
      <c r="D8" s="247">
        <v>13996</v>
      </c>
      <c r="E8" s="247">
        <v>967</v>
      </c>
      <c r="F8" s="247">
        <v>13029</v>
      </c>
      <c r="G8" s="248">
        <v>7.4</v>
      </c>
      <c r="H8" s="248">
        <v>1.6</v>
      </c>
      <c r="I8" s="248">
        <v>75.900000000000006</v>
      </c>
      <c r="J8" s="247">
        <v>22196</v>
      </c>
      <c r="K8" s="247">
        <v>181552</v>
      </c>
      <c r="L8" s="247">
        <v>46970</v>
      </c>
      <c r="M8" s="249">
        <v>4883</v>
      </c>
      <c r="N8" s="250">
        <v>129698</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c r="A9" s="246"/>
      <c r="B9" s="251"/>
      <c r="C9" s="251"/>
      <c r="D9" s="251"/>
      <c r="E9" s="251"/>
      <c r="F9" s="251"/>
      <c r="G9" s="252"/>
      <c r="H9" s="252"/>
      <c r="I9" s="252"/>
      <c r="J9" s="251"/>
      <c r="K9" s="251"/>
      <c r="L9" s="251"/>
      <c r="M9" s="253"/>
      <c r="N9" s="251"/>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c r="A10" s="254" t="s">
        <v>87</v>
      </c>
      <c r="B10" s="251">
        <v>68549</v>
      </c>
      <c r="C10" s="251">
        <v>66236</v>
      </c>
      <c r="D10" s="251">
        <v>2313</v>
      </c>
      <c r="E10" s="251">
        <v>1202</v>
      </c>
      <c r="F10" s="251">
        <v>1111</v>
      </c>
      <c r="G10" s="255">
        <v>3.1</v>
      </c>
      <c r="H10" s="255">
        <v>0</v>
      </c>
      <c r="I10" s="255">
        <v>74.2</v>
      </c>
      <c r="J10" s="251">
        <v>0</v>
      </c>
      <c r="K10" s="251">
        <v>118627</v>
      </c>
      <c r="L10" s="251">
        <v>42221</v>
      </c>
      <c r="M10" s="256">
        <v>0</v>
      </c>
      <c r="N10" s="251">
        <v>76406</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c r="A11" s="254" t="s">
        <v>86</v>
      </c>
      <c r="B11" s="251">
        <v>140317</v>
      </c>
      <c r="C11" s="251">
        <v>134823</v>
      </c>
      <c r="D11" s="251">
        <v>5494</v>
      </c>
      <c r="E11" s="251">
        <v>3307</v>
      </c>
      <c r="F11" s="251">
        <v>2187</v>
      </c>
      <c r="G11" s="255">
        <v>3.3</v>
      </c>
      <c r="H11" s="255">
        <v>1.4</v>
      </c>
      <c r="I11" s="255">
        <v>64.599999999999994</v>
      </c>
      <c r="J11" s="251">
        <v>33555</v>
      </c>
      <c r="K11" s="251">
        <v>72890</v>
      </c>
      <c r="L11" s="251">
        <v>30933</v>
      </c>
      <c r="M11" s="256">
        <v>0</v>
      </c>
      <c r="N11" s="251">
        <v>41957</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c r="A12" s="254" t="s">
        <v>1</v>
      </c>
      <c r="B12" s="251">
        <v>183992</v>
      </c>
      <c r="C12" s="251">
        <v>172048</v>
      </c>
      <c r="D12" s="251">
        <v>11945</v>
      </c>
      <c r="E12" s="251">
        <v>289</v>
      </c>
      <c r="F12" s="251">
        <v>11655</v>
      </c>
      <c r="G12" s="255">
        <v>11.5</v>
      </c>
      <c r="H12" s="255">
        <v>0.1</v>
      </c>
      <c r="I12" s="255">
        <v>67.599999999999994</v>
      </c>
      <c r="J12" s="251">
        <v>57</v>
      </c>
      <c r="K12" s="251">
        <v>195542</v>
      </c>
      <c r="L12" s="251">
        <v>54573</v>
      </c>
      <c r="M12" s="256">
        <v>0</v>
      </c>
      <c r="N12" s="251">
        <v>140969</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c r="A13" s="254" t="s">
        <v>85</v>
      </c>
      <c r="B13" s="251">
        <v>176790</v>
      </c>
      <c r="C13" s="251">
        <v>172139</v>
      </c>
      <c r="D13" s="251">
        <v>4651</v>
      </c>
      <c r="E13" s="251">
        <v>309</v>
      </c>
      <c r="F13" s="251">
        <v>4342</v>
      </c>
      <c r="G13" s="255">
        <v>4.7</v>
      </c>
      <c r="H13" s="255">
        <v>2</v>
      </c>
      <c r="I13" s="255">
        <v>80.400000000000006</v>
      </c>
      <c r="J13" s="251">
        <v>17720</v>
      </c>
      <c r="K13" s="251">
        <v>66549</v>
      </c>
      <c r="L13" s="251">
        <v>38596</v>
      </c>
      <c r="M13" s="253">
        <v>6092</v>
      </c>
      <c r="N13" s="251">
        <v>21862</v>
      </c>
      <c r="O13" s="46"/>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c r="A14" s="254" t="s">
        <v>84</v>
      </c>
      <c r="B14" s="251">
        <v>137802</v>
      </c>
      <c r="C14" s="251">
        <v>132021</v>
      </c>
      <c r="D14" s="251">
        <v>5781</v>
      </c>
      <c r="E14" s="251">
        <v>96</v>
      </c>
      <c r="F14" s="251">
        <v>5685</v>
      </c>
      <c r="G14" s="255">
        <v>8.5</v>
      </c>
      <c r="H14" s="255">
        <v>0.6</v>
      </c>
      <c r="I14" s="255">
        <v>78.599999999999994</v>
      </c>
      <c r="J14" s="251">
        <v>6776</v>
      </c>
      <c r="K14" s="251">
        <v>60105</v>
      </c>
      <c r="L14" s="251">
        <v>18464</v>
      </c>
      <c r="M14" s="253">
        <v>57</v>
      </c>
      <c r="N14" s="251">
        <v>41585</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c r="A15" s="254"/>
      <c r="B15" s="251"/>
      <c r="C15" s="251"/>
      <c r="D15" s="251"/>
      <c r="E15" s="251"/>
      <c r="F15" s="251"/>
      <c r="G15" s="255"/>
      <c r="H15" s="255"/>
      <c r="I15" s="255"/>
      <c r="J15" s="251"/>
      <c r="K15" s="251"/>
      <c r="L15" s="251"/>
      <c r="M15" s="253"/>
      <c r="N15" s="251"/>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c r="A16" s="254" t="s">
        <v>83</v>
      </c>
      <c r="B16" s="251">
        <v>124386</v>
      </c>
      <c r="C16" s="251">
        <v>116401</v>
      </c>
      <c r="D16" s="251">
        <v>7985</v>
      </c>
      <c r="E16" s="257">
        <v>230</v>
      </c>
      <c r="F16" s="251">
        <v>7755</v>
      </c>
      <c r="G16" s="255">
        <v>13.3</v>
      </c>
      <c r="H16" s="255">
        <v>1.8</v>
      </c>
      <c r="I16" s="255">
        <v>83.7</v>
      </c>
      <c r="J16" s="251">
        <v>11404</v>
      </c>
      <c r="K16" s="251">
        <v>53778</v>
      </c>
      <c r="L16" s="251">
        <v>11669</v>
      </c>
      <c r="M16" s="253">
        <v>4658</v>
      </c>
      <c r="N16" s="251">
        <v>37452</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c r="A17" s="254" t="s">
        <v>82</v>
      </c>
      <c r="B17" s="251">
        <v>141796</v>
      </c>
      <c r="C17" s="251">
        <v>135846</v>
      </c>
      <c r="D17" s="251">
        <v>5951</v>
      </c>
      <c r="E17" s="251">
        <v>141</v>
      </c>
      <c r="F17" s="251">
        <v>5810</v>
      </c>
      <c r="G17" s="255">
        <v>7.6</v>
      </c>
      <c r="H17" s="255">
        <v>3.1</v>
      </c>
      <c r="I17" s="255">
        <v>77.7</v>
      </c>
      <c r="J17" s="251">
        <v>26592</v>
      </c>
      <c r="K17" s="251">
        <v>49603</v>
      </c>
      <c r="L17" s="251">
        <v>25736</v>
      </c>
      <c r="M17" s="253">
        <v>291</v>
      </c>
      <c r="N17" s="251">
        <v>23575</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c r="A18" s="254" t="s">
        <v>81</v>
      </c>
      <c r="B18" s="251">
        <v>240885</v>
      </c>
      <c r="C18" s="251">
        <v>232505</v>
      </c>
      <c r="D18" s="251">
        <v>8380</v>
      </c>
      <c r="E18" s="257">
        <v>466</v>
      </c>
      <c r="F18" s="251">
        <v>7914</v>
      </c>
      <c r="G18" s="255">
        <v>5.9</v>
      </c>
      <c r="H18" s="255">
        <v>1.3</v>
      </c>
      <c r="I18" s="255">
        <v>74.7</v>
      </c>
      <c r="J18" s="251">
        <v>23741</v>
      </c>
      <c r="K18" s="251">
        <v>171353</v>
      </c>
      <c r="L18" s="251">
        <v>42600</v>
      </c>
      <c r="M18" s="253">
        <v>3110</v>
      </c>
      <c r="N18" s="251">
        <v>125643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c r="A19" s="254" t="s">
        <v>80</v>
      </c>
      <c r="B19" s="251">
        <v>195518</v>
      </c>
      <c r="C19" s="251">
        <v>188940</v>
      </c>
      <c r="D19" s="251">
        <v>6578</v>
      </c>
      <c r="E19" s="251">
        <v>317</v>
      </c>
      <c r="F19" s="251">
        <v>6261</v>
      </c>
      <c r="G19" s="255">
        <v>5.7</v>
      </c>
      <c r="H19" s="255">
        <v>0.8</v>
      </c>
      <c r="I19" s="255">
        <v>74.8</v>
      </c>
      <c r="J19" s="251">
        <v>11958</v>
      </c>
      <c r="K19" s="251">
        <v>95954</v>
      </c>
      <c r="L19" s="251">
        <v>18466</v>
      </c>
      <c r="M19" s="253">
        <v>8326</v>
      </c>
      <c r="N19" s="251">
        <v>69162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c r="A20" s="254" t="s">
        <v>79</v>
      </c>
      <c r="B20" s="251">
        <v>131735</v>
      </c>
      <c r="C20" s="251">
        <v>123597</v>
      </c>
      <c r="D20" s="251">
        <v>8138</v>
      </c>
      <c r="E20" s="257">
        <v>18</v>
      </c>
      <c r="F20" s="251">
        <v>8120</v>
      </c>
      <c r="G20" s="255">
        <v>11.1</v>
      </c>
      <c r="H20" s="255">
        <v>1.6</v>
      </c>
      <c r="I20" s="255">
        <v>77.900000000000006</v>
      </c>
      <c r="J20" s="251">
        <v>8676</v>
      </c>
      <c r="K20" s="251">
        <v>79510</v>
      </c>
      <c r="L20" s="251">
        <v>34894</v>
      </c>
      <c r="M20" s="253">
        <v>505</v>
      </c>
      <c r="N20" s="251">
        <v>44111</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c r="A21" s="254"/>
      <c r="B21" s="251"/>
      <c r="C21" s="251"/>
      <c r="D21" s="251"/>
      <c r="E21" s="251"/>
      <c r="F21" s="251"/>
      <c r="G21" s="255"/>
      <c r="H21" s="255"/>
      <c r="I21" s="255"/>
      <c r="J21" s="251"/>
      <c r="K21" s="251"/>
      <c r="L21" s="251"/>
      <c r="M21" s="253"/>
      <c r="N21" s="251"/>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c r="A22" s="254" t="s">
        <v>78</v>
      </c>
      <c r="B22" s="251">
        <v>305342</v>
      </c>
      <c r="C22" s="251">
        <v>301312</v>
      </c>
      <c r="D22" s="251">
        <v>4031</v>
      </c>
      <c r="E22" s="251">
        <v>1330</v>
      </c>
      <c r="F22" s="251">
        <v>2701</v>
      </c>
      <c r="G22" s="258">
        <v>1.5</v>
      </c>
      <c r="H22" s="255">
        <v>0.9</v>
      </c>
      <c r="I22" s="255">
        <v>80</v>
      </c>
      <c r="J22" s="251">
        <v>14865</v>
      </c>
      <c r="K22" s="251">
        <v>124016</v>
      </c>
      <c r="L22" s="251">
        <v>54965</v>
      </c>
      <c r="M22" s="253">
        <v>0</v>
      </c>
      <c r="N22" s="251">
        <v>69051</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c r="A23" s="254" t="s">
        <v>77</v>
      </c>
      <c r="B23" s="251">
        <v>395149</v>
      </c>
      <c r="C23" s="251">
        <v>375041</v>
      </c>
      <c r="D23" s="251">
        <v>20107</v>
      </c>
      <c r="E23" s="251">
        <v>4860</v>
      </c>
      <c r="F23" s="251">
        <v>15247</v>
      </c>
      <c r="G23" s="255">
        <v>7</v>
      </c>
      <c r="H23" s="255">
        <v>4.4000000000000004</v>
      </c>
      <c r="I23" s="255">
        <v>79</v>
      </c>
      <c r="J23" s="251">
        <v>52656</v>
      </c>
      <c r="K23" s="251">
        <v>153227</v>
      </c>
      <c r="L23" s="251">
        <v>41831</v>
      </c>
      <c r="M23" s="253">
        <v>6477</v>
      </c>
      <c r="N23" s="251">
        <v>104919</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c r="A24" s="254" t="s">
        <v>76</v>
      </c>
      <c r="B24" s="251">
        <v>134926</v>
      </c>
      <c r="C24" s="251">
        <v>121400</v>
      </c>
      <c r="D24" s="251">
        <v>13525</v>
      </c>
      <c r="E24" s="251">
        <v>713</v>
      </c>
      <c r="F24" s="251">
        <v>12812</v>
      </c>
      <c r="G24" s="255">
        <v>18.7</v>
      </c>
      <c r="H24" s="255">
        <v>0.7</v>
      </c>
      <c r="I24" s="255">
        <v>70.5</v>
      </c>
      <c r="J24" s="251">
        <v>4050</v>
      </c>
      <c r="K24" s="251">
        <v>138626</v>
      </c>
      <c r="L24" s="251">
        <v>53663</v>
      </c>
      <c r="M24" s="256">
        <v>0</v>
      </c>
      <c r="N24" s="251">
        <v>84962</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c r="A25" s="254" t="s">
        <v>75</v>
      </c>
      <c r="B25" s="251">
        <v>169442</v>
      </c>
      <c r="C25" s="251">
        <v>162276</v>
      </c>
      <c r="D25" s="251">
        <v>7166</v>
      </c>
      <c r="E25" s="251">
        <v>737</v>
      </c>
      <c r="F25" s="251">
        <v>6430</v>
      </c>
      <c r="G25" s="255">
        <v>7.4</v>
      </c>
      <c r="H25" s="255">
        <v>1.4</v>
      </c>
      <c r="I25" s="255">
        <v>70.400000000000006</v>
      </c>
      <c r="J25" s="251">
        <v>23887</v>
      </c>
      <c r="K25" s="251">
        <v>76865</v>
      </c>
      <c r="L25" s="251">
        <v>34785</v>
      </c>
      <c r="M25" s="253">
        <v>736</v>
      </c>
      <c r="N25" s="251">
        <v>41343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c r="A26" s="254" t="s">
        <v>74</v>
      </c>
      <c r="B26" s="251">
        <v>234567</v>
      </c>
      <c r="C26" s="251">
        <v>221710</v>
      </c>
      <c r="D26" s="251">
        <v>12856</v>
      </c>
      <c r="E26" s="251">
        <v>2663</v>
      </c>
      <c r="F26" s="251">
        <v>10193</v>
      </c>
      <c r="G26" s="255">
        <v>7.7</v>
      </c>
      <c r="H26" s="255">
        <v>1.6</v>
      </c>
      <c r="I26" s="255">
        <v>79.8</v>
      </c>
      <c r="J26" s="251">
        <v>32672</v>
      </c>
      <c r="K26" s="251">
        <v>81479</v>
      </c>
      <c r="L26" s="251">
        <v>57405</v>
      </c>
      <c r="M26" s="256">
        <v>23</v>
      </c>
      <c r="N26" s="251">
        <v>24051</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c r="A27" s="254"/>
      <c r="B27" s="251"/>
      <c r="C27" s="251"/>
      <c r="D27" s="251"/>
      <c r="E27" s="251"/>
      <c r="F27" s="251"/>
      <c r="G27" s="255"/>
      <c r="H27" s="255"/>
      <c r="I27" s="255"/>
      <c r="J27" s="251"/>
      <c r="K27" s="251"/>
      <c r="L27" s="251"/>
      <c r="M27" s="253"/>
      <c r="N27" s="251"/>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c r="A28" s="254" t="s">
        <v>73</v>
      </c>
      <c r="B28" s="251">
        <v>149301</v>
      </c>
      <c r="C28" s="251">
        <v>144701</v>
      </c>
      <c r="D28" s="251">
        <v>4600</v>
      </c>
      <c r="E28" s="251">
        <v>298</v>
      </c>
      <c r="F28" s="251">
        <v>4301</v>
      </c>
      <c r="G28" s="255">
        <v>5.6</v>
      </c>
      <c r="H28" s="255">
        <v>3.2</v>
      </c>
      <c r="I28" s="255">
        <v>80.599999999999994</v>
      </c>
      <c r="J28" s="251">
        <v>17592</v>
      </c>
      <c r="K28" s="251">
        <v>47239</v>
      </c>
      <c r="L28" s="251">
        <v>18689</v>
      </c>
      <c r="M28" s="253">
        <v>97</v>
      </c>
      <c r="N28" s="251">
        <v>28453</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c r="A29" s="254" t="s">
        <v>0</v>
      </c>
      <c r="B29" s="251">
        <v>184808</v>
      </c>
      <c r="C29" s="251">
        <v>175889</v>
      </c>
      <c r="D29" s="251">
        <v>8919</v>
      </c>
      <c r="E29" s="251">
        <v>202</v>
      </c>
      <c r="F29" s="251">
        <v>8717</v>
      </c>
      <c r="G29" s="255">
        <v>9.1</v>
      </c>
      <c r="H29" s="255">
        <v>3.2</v>
      </c>
      <c r="I29" s="255">
        <v>80.8</v>
      </c>
      <c r="J29" s="251">
        <v>26086</v>
      </c>
      <c r="K29" s="251">
        <v>75769</v>
      </c>
      <c r="L29" s="251">
        <v>20011</v>
      </c>
      <c r="M29" s="253">
        <v>1523</v>
      </c>
      <c r="N29" s="251">
        <v>54236</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c r="A30" s="254" t="s">
        <v>72</v>
      </c>
      <c r="B30" s="251">
        <v>114037</v>
      </c>
      <c r="C30" s="251">
        <v>108866</v>
      </c>
      <c r="D30" s="251">
        <v>5171</v>
      </c>
      <c r="E30" s="251">
        <v>52</v>
      </c>
      <c r="F30" s="251">
        <v>5119</v>
      </c>
      <c r="G30" s="255">
        <v>7.8</v>
      </c>
      <c r="H30" s="255">
        <v>2.2999999999999998</v>
      </c>
      <c r="I30" s="255">
        <v>81.3</v>
      </c>
      <c r="J30" s="251">
        <v>17124</v>
      </c>
      <c r="K30" s="251">
        <v>45923</v>
      </c>
      <c r="L30" s="251">
        <v>21305</v>
      </c>
      <c r="M30" s="253">
        <v>4128</v>
      </c>
      <c r="N30" s="251">
        <v>20490</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c r="A31" s="254" t="s">
        <v>71</v>
      </c>
      <c r="B31" s="251">
        <v>262602</v>
      </c>
      <c r="C31" s="251">
        <v>251505</v>
      </c>
      <c r="D31" s="251">
        <v>11097</v>
      </c>
      <c r="E31" s="257">
        <v>916</v>
      </c>
      <c r="F31" s="251">
        <v>10181</v>
      </c>
      <c r="G31" s="258">
        <v>7.3</v>
      </c>
      <c r="H31" s="255">
        <v>1.5</v>
      </c>
      <c r="I31" s="255">
        <v>77.400000000000006</v>
      </c>
      <c r="J31" s="251">
        <v>28680</v>
      </c>
      <c r="K31" s="251">
        <v>100904</v>
      </c>
      <c r="L31" s="251">
        <v>27552</v>
      </c>
      <c r="M31" s="253">
        <v>948</v>
      </c>
      <c r="N31" s="251">
        <v>72404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c r="A32" s="254" t="s">
        <v>70</v>
      </c>
      <c r="B32" s="251">
        <v>318828</v>
      </c>
      <c r="C32" s="251">
        <v>309119</v>
      </c>
      <c r="D32" s="251">
        <v>9709</v>
      </c>
      <c r="E32" s="257">
        <v>199</v>
      </c>
      <c r="F32" s="251">
        <v>9510</v>
      </c>
      <c r="G32" s="255">
        <v>5.2</v>
      </c>
      <c r="H32" s="255">
        <v>2.6</v>
      </c>
      <c r="I32" s="255">
        <v>81.7</v>
      </c>
      <c r="J32" s="251">
        <v>49637</v>
      </c>
      <c r="K32" s="251">
        <v>102224</v>
      </c>
      <c r="L32" s="251">
        <v>47289</v>
      </c>
      <c r="M32" s="253">
        <v>5326</v>
      </c>
      <c r="N32" s="251">
        <v>49609</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c r="A33" s="170"/>
      <c r="B33" s="251"/>
      <c r="C33" s="251"/>
      <c r="D33" s="251"/>
      <c r="E33" s="251"/>
      <c r="F33" s="251"/>
      <c r="G33" s="255"/>
      <c r="H33" s="255"/>
      <c r="I33" s="255"/>
      <c r="J33" s="251"/>
      <c r="K33" s="251"/>
      <c r="L33" s="251"/>
      <c r="M33" s="253"/>
      <c r="N33" s="251"/>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c r="A34" s="170" t="s">
        <v>301</v>
      </c>
      <c r="B34" s="251">
        <v>250981</v>
      </c>
      <c r="C34" s="251">
        <v>239189</v>
      </c>
      <c r="D34" s="251">
        <v>11792</v>
      </c>
      <c r="E34" s="251">
        <v>624</v>
      </c>
      <c r="F34" s="251">
        <v>11168</v>
      </c>
      <c r="G34" s="255">
        <v>8.6999999999999993</v>
      </c>
      <c r="H34" s="255">
        <v>0.9</v>
      </c>
      <c r="I34" s="255">
        <v>77</v>
      </c>
      <c r="J34" s="251">
        <v>11989</v>
      </c>
      <c r="K34" s="251">
        <v>141017</v>
      </c>
      <c r="L34" s="251">
        <v>23404</v>
      </c>
      <c r="M34" s="253">
        <v>268</v>
      </c>
      <c r="N34" s="251">
        <v>117344</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c r="A35" s="254" t="s">
        <v>69</v>
      </c>
      <c r="B35" s="251">
        <v>343431</v>
      </c>
      <c r="C35" s="251">
        <v>317060</v>
      </c>
      <c r="D35" s="251">
        <v>26371</v>
      </c>
      <c r="E35" s="251">
        <v>14386</v>
      </c>
      <c r="F35" s="251">
        <v>11985</v>
      </c>
      <c r="G35" s="255">
        <v>6.6</v>
      </c>
      <c r="H35" s="255">
        <v>0</v>
      </c>
      <c r="I35" s="255">
        <v>71.7</v>
      </c>
      <c r="J35" s="251">
        <v>253</v>
      </c>
      <c r="K35" s="251">
        <v>245718</v>
      </c>
      <c r="L35" s="251">
        <v>40017</v>
      </c>
      <c r="M35" s="253">
        <v>170</v>
      </c>
      <c r="N35" s="251">
        <v>205531</v>
      </c>
      <c r="O35" s="45"/>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c r="A36" s="254"/>
      <c r="B36" s="251"/>
      <c r="C36" s="251"/>
      <c r="D36" s="251"/>
      <c r="E36" s="251"/>
      <c r="F36" s="251"/>
      <c r="G36" s="255"/>
      <c r="H36" s="255"/>
      <c r="I36" s="255"/>
      <c r="J36" s="251"/>
      <c r="K36" s="251"/>
      <c r="L36" s="251"/>
      <c r="M36" s="253"/>
      <c r="N36" s="251"/>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9.2">
      <c r="A37" s="259" t="s">
        <v>347</v>
      </c>
      <c r="B37" s="260">
        <v>4746026</v>
      </c>
      <c r="C37" s="260">
        <v>4529469</v>
      </c>
      <c r="D37" s="260">
        <v>216557</v>
      </c>
      <c r="E37" s="260">
        <v>34325</v>
      </c>
      <c r="F37" s="260">
        <v>182232</v>
      </c>
      <c r="G37" s="261">
        <v>7.2</v>
      </c>
      <c r="H37" s="261">
        <v>1.7</v>
      </c>
      <c r="I37" s="261">
        <v>76.7</v>
      </c>
      <c r="J37" s="260">
        <v>442165</v>
      </c>
      <c r="K37" s="260">
        <v>2478470</v>
      </c>
      <c r="L37" s="260">
        <v>806037</v>
      </c>
      <c r="M37" s="262">
        <v>47619</v>
      </c>
      <c r="N37" s="260">
        <v>1624814</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c r="A38" s="25" t="s">
        <v>348</v>
      </c>
      <c r="B38" s="25"/>
      <c r="C38" s="25"/>
      <c r="D38" s="25"/>
      <c r="E38" s="25"/>
      <c r="F38" s="25"/>
      <c r="G38" s="25"/>
      <c r="H38" s="25"/>
      <c r="I38" s="25"/>
      <c r="J38" s="25"/>
      <c r="K38" s="25"/>
      <c r="L38" s="25"/>
      <c r="M38" s="25"/>
      <c r="N38" s="16" t="s">
        <v>349</v>
      </c>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row>
    <row r="39" spans="1:256">
      <c r="A39" s="44" t="s">
        <v>68</v>
      </c>
      <c r="B39" s="25"/>
      <c r="C39" s="25"/>
      <c r="D39" s="25"/>
      <c r="E39" s="25"/>
      <c r="F39" s="27"/>
      <c r="G39" s="24"/>
      <c r="H39" s="24"/>
      <c r="I39" s="27"/>
      <c r="J39" s="24"/>
      <c r="K39" s="24"/>
      <c r="L39" s="24"/>
      <c r="M39" s="24"/>
      <c r="N39" s="16"/>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row>
    <row r="40" spans="1:256">
      <c r="A40" s="25"/>
      <c r="B40" s="43"/>
      <c r="C40" s="43"/>
      <c r="D40" s="43"/>
      <c r="E40" s="43"/>
      <c r="F40" s="43"/>
      <c r="G40" s="43"/>
      <c r="H40" s="43"/>
      <c r="I40" s="43"/>
      <c r="J40" s="43"/>
      <c r="K40" s="43"/>
      <c r="L40" s="43"/>
      <c r="M40" s="43"/>
      <c r="N40" s="42"/>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5" spans="1:256" s="41" customFormat="1" ht="9.6"/>
  </sheetData>
  <mergeCells count="13">
    <mergeCell ref="G4:G6"/>
    <mergeCell ref="B4:B6"/>
    <mergeCell ref="C4:C6"/>
    <mergeCell ref="D4:D6"/>
    <mergeCell ref="E4:E6"/>
    <mergeCell ref="F4:F6"/>
    <mergeCell ref="N5:N6"/>
    <mergeCell ref="H4:H6"/>
    <mergeCell ref="I4:I6"/>
    <mergeCell ref="J4:J6"/>
    <mergeCell ref="K4:K6"/>
    <mergeCell ref="L5:L6"/>
    <mergeCell ref="M5:M6"/>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3404-177F-44B8-AA6C-5575B68E4AE9}">
  <dimension ref="A1:P19"/>
  <sheetViews>
    <sheetView view="pageBreakPreview" zoomScale="115" zoomScaleNormal="115" zoomScaleSheetLayoutView="115" workbookViewId="0">
      <selection activeCell="C26" sqref="C26"/>
    </sheetView>
  </sheetViews>
  <sheetFormatPr defaultColWidth="9" defaultRowHeight="13.2"/>
  <cols>
    <col min="1" max="1" width="7.33203125" style="1" customWidth="1"/>
    <col min="2" max="6" width="7.109375" style="1" customWidth="1"/>
    <col min="7" max="8" width="4.109375" style="1" customWidth="1"/>
    <col min="9" max="9" width="4.6640625" style="1" customWidth="1"/>
    <col min="10" max="10" width="6.77734375" style="1" customWidth="1"/>
    <col min="11" max="11" width="6.88671875" style="1" customWidth="1"/>
    <col min="12" max="13" width="6.109375" style="1" customWidth="1"/>
    <col min="14" max="14" width="7.33203125" style="1" customWidth="1"/>
    <col min="15" max="16384" width="9" style="1"/>
  </cols>
  <sheetData>
    <row r="1" spans="1:16" ht="15" customHeight="1" thickBot="1">
      <c r="A1" s="263" t="s">
        <v>92</v>
      </c>
      <c r="B1" s="264"/>
      <c r="C1" s="264"/>
      <c r="D1" s="264"/>
      <c r="E1" s="264"/>
      <c r="F1" s="265"/>
      <c r="G1" s="264"/>
      <c r="H1" s="264"/>
      <c r="I1" s="264"/>
      <c r="J1" s="264"/>
      <c r="K1" s="264"/>
      <c r="L1" s="264"/>
      <c r="M1" s="266"/>
      <c r="N1" s="266"/>
    </row>
    <row r="2" spans="1:16" ht="12.9" customHeight="1" thickTop="1" thickBot="1">
      <c r="A2" s="267" t="s">
        <v>89</v>
      </c>
      <c r="B2" s="673" t="s">
        <v>327</v>
      </c>
      <c r="C2" s="673" t="s">
        <v>328</v>
      </c>
      <c r="D2" s="673" t="s">
        <v>329</v>
      </c>
      <c r="E2" s="673" t="s">
        <v>350</v>
      </c>
      <c r="F2" s="673" t="s">
        <v>331</v>
      </c>
      <c r="G2" s="673" t="s">
        <v>332</v>
      </c>
      <c r="H2" s="673" t="s">
        <v>333</v>
      </c>
      <c r="I2" s="673" t="s">
        <v>334</v>
      </c>
      <c r="J2" s="673" t="s">
        <v>335</v>
      </c>
      <c r="K2" s="675" t="s">
        <v>336</v>
      </c>
      <c r="L2" s="268"/>
      <c r="M2" s="268"/>
      <c r="N2" s="269"/>
    </row>
    <row r="3" spans="1:16" ht="20.100000000000001" customHeight="1" thickTop="1" thickBot="1">
      <c r="A3" s="270"/>
      <c r="B3" s="673"/>
      <c r="C3" s="673"/>
      <c r="D3" s="673"/>
      <c r="E3" s="673"/>
      <c r="F3" s="673"/>
      <c r="G3" s="673"/>
      <c r="H3" s="673"/>
      <c r="I3" s="673"/>
      <c r="J3" s="673"/>
      <c r="K3" s="675"/>
      <c r="L3" s="674" t="s">
        <v>351</v>
      </c>
      <c r="M3" s="674" t="s">
        <v>338</v>
      </c>
      <c r="N3" s="674" t="s">
        <v>339</v>
      </c>
    </row>
    <row r="4" spans="1:16" ht="12.9" customHeight="1" thickTop="1">
      <c r="A4" s="270" t="s">
        <v>19</v>
      </c>
      <c r="B4" s="673"/>
      <c r="C4" s="673"/>
      <c r="D4" s="673"/>
      <c r="E4" s="673"/>
      <c r="F4" s="673"/>
      <c r="G4" s="673"/>
      <c r="H4" s="673"/>
      <c r="I4" s="673"/>
      <c r="J4" s="673"/>
      <c r="K4" s="675"/>
      <c r="L4" s="674"/>
      <c r="M4" s="674"/>
      <c r="N4" s="674"/>
    </row>
    <row r="5" spans="1:16" s="15" customFormat="1" ht="12.9" customHeight="1">
      <c r="A5" s="271" t="s">
        <v>91</v>
      </c>
      <c r="B5" s="272" t="s">
        <v>341</v>
      </c>
      <c r="C5" s="272" t="s">
        <v>342</v>
      </c>
      <c r="D5" s="272" t="s">
        <v>343</v>
      </c>
      <c r="E5" s="273" t="s">
        <v>344</v>
      </c>
      <c r="F5" s="274" t="s">
        <v>345</v>
      </c>
      <c r="G5" s="275" t="s">
        <v>346</v>
      </c>
      <c r="H5" s="275" t="s">
        <v>346</v>
      </c>
      <c r="I5" s="275" t="s">
        <v>346</v>
      </c>
      <c r="J5" s="272"/>
      <c r="K5" s="272"/>
      <c r="L5" s="272"/>
      <c r="M5" s="272"/>
      <c r="N5" s="272"/>
    </row>
    <row r="6" spans="1:16" s="23" customFormat="1" ht="18" customHeight="1">
      <c r="A6" s="276" t="s">
        <v>352</v>
      </c>
      <c r="B6" s="277">
        <v>350933</v>
      </c>
      <c r="C6" s="277">
        <v>337981</v>
      </c>
      <c r="D6" s="278">
        <v>12953</v>
      </c>
      <c r="E6" s="277">
        <v>1624</v>
      </c>
      <c r="F6" s="277">
        <v>11328</v>
      </c>
      <c r="G6" s="279">
        <v>6.7</v>
      </c>
      <c r="H6" s="279">
        <v>2.5</v>
      </c>
      <c r="I6" s="280">
        <v>77</v>
      </c>
      <c r="J6" s="277">
        <v>25265</v>
      </c>
      <c r="K6" s="277">
        <v>180391</v>
      </c>
      <c r="L6" s="277">
        <v>47666</v>
      </c>
      <c r="M6" s="277">
        <v>5019</v>
      </c>
      <c r="N6" s="277">
        <v>127705</v>
      </c>
    </row>
    <row r="7" spans="1:16" s="23" customFormat="1" ht="18" customHeight="1">
      <c r="A7" s="281"/>
      <c r="B7" s="282">
        <v>-5.1999999999999998E-2</v>
      </c>
      <c r="C7" s="282">
        <v>-6.2E-2</v>
      </c>
      <c r="D7" s="282">
        <v>0.312</v>
      </c>
      <c r="E7" s="282">
        <v>0.21199999999999999</v>
      </c>
      <c r="F7" s="282">
        <v>0.32800000000000001</v>
      </c>
      <c r="G7" s="282"/>
      <c r="H7" s="282"/>
      <c r="I7" s="282"/>
      <c r="J7" s="282">
        <v>-0.14799999999999999</v>
      </c>
      <c r="K7" s="282">
        <v>-1E-3</v>
      </c>
      <c r="L7" s="282">
        <v>4.5999999999999999E-2</v>
      </c>
      <c r="M7" s="282">
        <v>-0.45200000000000001</v>
      </c>
      <c r="N7" s="283">
        <v>1.4999999999999999E-2</v>
      </c>
    </row>
    <row r="8" spans="1:16" s="23" customFormat="1" ht="8.25" customHeight="1">
      <c r="A8" s="281"/>
      <c r="B8" s="284"/>
      <c r="C8" s="284"/>
      <c r="D8" s="284"/>
      <c r="E8" s="284"/>
      <c r="F8" s="284"/>
      <c r="G8" s="284"/>
      <c r="H8" s="285"/>
      <c r="I8" s="284"/>
      <c r="J8" s="284"/>
      <c r="K8" s="284"/>
      <c r="L8" s="284"/>
      <c r="M8" s="284"/>
      <c r="N8" s="286"/>
    </row>
    <row r="9" spans="1:16" s="23" customFormat="1" ht="18" customHeight="1">
      <c r="A9" s="287">
        <v>4</v>
      </c>
      <c r="B9" s="277">
        <v>340841</v>
      </c>
      <c r="C9" s="277">
        <v>326844</v>
      </c>
      <c r="D9" s="278">
        <v>13996</v>
      </c>
      <c r="E9" s="277">
        <v>967</v>
      </c>
      <c r="F9" s="277">
        <v>13029</v>
      </c>
      <c r="G9" s="279">
        <v>7.4</v>
      </c>
      <c r="H9" s="279">
        <v>1.6</v>
      </c>
      <c r="I9" s="280">
        <v>75.900000000000006</v>
      </c>
      <c r="J9" s="277">
        <v>22196</v>
      </c>
      <c r="K9" s="277">
        <v>181552</v>
      </c>
      <c r="L9" s="277">
        <v>46970</v>
      </c>
      <c r="M9" s="277">
        <v>4883</v>
      </c>
      <c r="N9" s="277">
        <v>129698</v>
      </c>
      <c r="P9" s="117"/>
    </row>
    <row r="10" spans="1:16" s="23" customFormat="1" ht="18" customHeight="1">
      <c r="A10" s="281"/>
      <c r="B10" s="282">
        <v>-2.87576260995689E-2</v>
      </c>
      <c r="C10" s="282">
        <v>-3.2951556448439397E-2</v>
      </c>
      <c r="D10" s="282">
        <v>8.05218868215858E-2</v>
      </c>
      <c r="E10" s="282">
        <v>-0.40455665024630499</v>
      </c>
      <c r="F10" s="282">
        <v>0.150158898305085</v>
      </c>
      <c r="G10" s="282"/>
      <c r="H10" s="282"/>
      <c r="I10" s="282"/>
      <c r="J10" s="282">
        <v>-0.121472392638037</v>
      </c>
      <c r="K10" s="282">
        <v>6.4360195353425596E-3</v>
      </c>
      <c r="L10" s="282">
        <v>-1.46016028196199E-2</v>
      </c>
      <c r="M10" s="288">
        <v>-2.7097031281131698E-2</v>
      </c>
      <c r="N10" s="283">
        <v>1.5606280098664899E-2</v>
      </c>
    </row>
    <row r="11" spans="1:16" s="23" customFormat="1" ht="8.25" customHeight="1">
      <c r="A11" s="281"/>
      <c r="B11" s="284"/>
      <c r="C11" s="284"/>
      <c r="D11" s="284"/>
      <c r="E11" s="284"/>
      <c r="F11" s="284"/>
      <c r="G11" s="284"/>
      <c r="H11" s="285"/>
      <c r="I11" s="284"/>
      <c r="J11" s="284"/>
      <c r="K11" s="284"/>
      <c r="L11" s="284"/>
      <c r="M11" s="284"/>
      <c r="N11" s="286"/>
    </row>
    <row r="12" spans="1:16" s="23" customFormat="1" ht="18" customHeight="1">
      <c r="A12" s="289">
        <v>5</v>
      </c>
      <c r="B12" s="290">
        <f>331562511/1000</f>
        <v>331562.511</v>
      </c>
      <c r="C12" s="290">
        <f>317160375/1000</f>
        <v>317160.375</v>
      </c>
      <c r="D12" s="291">
        <f>14402136/1000</f>
        <v>14402.136</v>
      </c>
      <c r="E12" s="290">
        <f>1929917/1000</f>
        <v>1929.9169999999999</v>
      </c>
      <c r="F12" s="290">
        <f>12472219/1000</f>
        <v>12472.218999999999</v>
      </c>
      <c r="G12" s="292">
        <v>6.7</v>
      </c>
      <c r="H12" s="292">
        <v>1.6</v>
      </c>
      <c r="I12" s="293">
        <v>78.599999999999994</v>
      </c>
      <c r="J12" s="290">
        <f>18907244/1000</f>
        <v>18907.243999999999</v>
      </c>
      <c r="K12" s="290">
        <f>SUM(L12:N12)</f>
        <v>185798.076</v>
      </c>
      <c r="L12" s="290">
        <f>48570746/1000</f>
        <v>48570.745999999999</v>
      </c>
      <c r="M12" s="290">
        <f>4501510/1000</f>
        <v>4501.51</v>
      </c>
      <c r="N12" s="290">
        <f>132725820/1000</f>
        <v>132725.82</v>
      </c>
    </row>
    <row r="13" spans="1:16" s="23" customFormat="1" ht="18" customHeight="1">
      <c r="A13" s="294"/>
      <c r="B13" s="295">
        <f>B12/B9-1</f>
        <v>-2.722233827503151E-2</v>
      </c>
      <c r="C13" s="295">
        <f>C12/C9-1</f>
        <v>-2.96276664096633E-2</v>
      </c>
      <c r="D13" s="295">
        <f>D12/D9-1</f>
        <v>2.9018005144326953E-2</v>
      </c>
      <c r="E13" s="295">
        <f>E12/E9-1</f>
        <v>0.99577766287487068</v>
      </c>
      <c r="F13" s="295">
        <f>F12/F9-1</f>
        <v>-4.2733978048967725E-2</v>
      </c>
      <c r="G13" s="295"/>
      <c r="H13" s="295"/>
      <c r="I13" s="295"/>
      <c r="J13" s="295">
        <f>J12/J9-1</f>
        <v>-0.14816885925391965</v>
      </c>
      <c r="K13" s="295">
        <f>K12/K9-1</f>
        <v>2.3387657530624884E-2</v>
      </c>
      <c r="L13" s="295">
        <f>L12/L9-1</f>
        <v>3.4080178837555763E-2</v>
      </c>
      <c r="M13" s="296">
        <f>M12/M9-1</f>
        <v>-7.8126151955764889E-2</v>
      </c>
      <c r="N13" s="297">
        <f>N12/N9-1</f>
        <v>2.3345155669324269E-2</v>
      </c>
    </row>
    <row r="14" spans="1:16" s="25" customFormat="1" ht="12" customHeight="1">
      <c r="A14" s="298" t="s">
        <v>353</v>
      </c>
      <c r="B14" s="298"/>
      <c r="C14" s="298"/>
      <c r="D14" s="298"/>
      <c r="E14" s="298"/>
      <c r="F14" s="298"/>
      <c r="G14" s="298"/>
      <c r="H14" s="298"/>
      <c r="I14" s="298"/>
      <c r="J14" s="298"/>
      <c r="K14" s="298"/>
      <c r="L14" s="299"/>
      <c r="M14" s="298"/>
      <c r="N14" s="299" t="s">
        <v>349</v>
      </c>
    </row>
    <row r="15" spans="1:16" s="25" customFormat="1" ht="12" customHeight="1">
      <c r="A15" s="298" t="s">
        <v>354</v>
      </c>
      <c r="B15" s="298"/>
      <c r="C15" s="298"/>
      <c r="D15" s="298"/>
      <c r="E15" s="298"/>
      <c r="F15" s="300"/>
      <c r="G15" s="298"/>
      <c r="H15" s="300"/>
      <c r="I15" s="298"/>
      <c r="J15" s="298"/>
      <c r="K15" s="298"/>
      <c r="L15" s="298"/>
      <c r="M15" s="298"/>
      <c r="N15" s="301" t="s">
        <v>355</v>
      </c>
    </row>
    <row r="16" spans="1:16" s="10" customFormat="1" ht="9.6">
      <c r="B16" s="116"/>
      <c r="F16" s="13"/>
      <c r="H16" s="13"/>
    </row>
    <row r="17" spans="2:14" s="10" customFormat="1" ht="9.6">
      <c r="F17" s="13"/>
      <c r="H17" s="13"/>
    </row>
    <row r="18" spans="2:14" s="10" customFormat="1" ht="9.6">
      <c r="F18" s="10" t="s">
        <v>90</v>
      </c>
    </row>
    <row r="19" spans="2:14" s="10" customFormat="1">
      <c r="B19" s="1"/>
      <c r="C19" s="1"/>
      <c r="D19" s="1"/>
      <c r="E19" s="1"/>
      <c r="F19" s="1"/>
      <c r="G19" s="1"/>
      <c r="H19" s="1"/>
      <c r="I19" s="1"/>
      <c r="J19" s="1"/>
      <c r="K19" s="1"/>
      <c r="L19" s="1"/>
      <c r="M19" s="1"/>
      <c r="N19" s="1"/>
    </row>
  </sheetData>
  <mergeCells count="13">
    <mergeCell ref="N3:N4"/>
    <mergeCell ref="H2:H4"/>
    <mergeCell ref="I2:I4"/>
    <mergeCell ref="J2:J4"/>
    <mergeCell ref="K2:K4"/>
    <mergeCell ref="L3:L4"/>
    <mergeCell ref="M3:M4"/>
    <mergeCell ref="G2:G4"/>
    <mergeCell ref="B2:B4"/>
    <mergeCell ref="C2:C4"/>
    <mergeCell ref="D2:D4"/>
    <mergeCell ref="E2:E4"/>
    <mergeCell ref="F2:F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C2E87-A54F-4585-B99D-321F22248073}">
  <dimension ref="A1:Q17"/>
  <sheetViews>
    <sheetView view="pageBreakPreview" zoomScale="115" zoomScaleNormal="100" zoomScaleSheetLayoutView="115" workbookViewId="0">
      <selection activeCell="P8" sqref="P8"/>
    </sheetView>
  </sheetViews>
  <sheetFormatPr defaultColWidth="9" defaultRowHeight="13.2"/>
  <cols>
    <col min="1" max="1" width="7.109375" style="1" customWidth="1"/>
    <col min="2" max="2" width="6.33203125" style="1" customWidth="1"/>
    <col min="3" max="3" width="6" style="1" customWidth="1"/>
    <col min="4" max="4" width="7.21875" style="1" customWidth="1"/>
    <col min="5" max="5" width="7.33203125" style="1" customWidth="1"/>
    <col min="6" max="6" width="5.6640625" style="1" customWidth="1"/>
    <col min="7" max="7" width="5.109375" style="1" customWidth="1"/>
    <col min="8" max="8" width="3.6640625" style="1" customWidth="1"/>
    <col min="9" max="9" width="6.6640625" style="1" customWidth="1"/>
    <col min="10" max="10" width="6.109375" style="1" customWidth="1"/>
    <col min="11" max="11" width="4.88671875" style="1" customWidth="1"/>
    <col min="12" max="12" width="6.109375" style="1" customWidth="1"/>
    <col min="13" max="13" width="5.109375" style="1" customWidth="1"/>
    <col min="14" max="15" width="5.33203125" style="1" customWidth="1"/>
    <col min="16" max="16" width="6.88671875" style="1" customWidth="1"/>
    <col min="17" max="16384" width="9" style="1"/>
  </cols>
  <sheetData>
    <row r="1" spans="1:17" ht="15" customHeight="1">
      <c r="A1" s="302" t="s">
        <v>356</v>
      </c>
      <c r="B1" s="303"/>
      <c r="C1" s="303"/>
      <c r="D1" s="303"/>
      <c r="E1" s="303"/>
      <c r="F1" s="303"/>
      <c r="G1" s="303"/>
      <c r="H1" s="303"/>
      <c r="I1" s="303"/>
      <c r="J1" s="303"/>
      <c r="K1" s="303"/>
      <c r="L1" s="303"/>
      <c r="M1" s="303"/>
      <c r="N1" s="303"/>
      <c r="O1" s="303"/>
      <c r="P1" s="303"/>
    </row>
    <row r="2" spans="1:17" ht="15" customHeight="1" thickBot="1">
      <c r="A2" s="304" t="s">
        <v>56</v>
      </c>
      <c r="B2" s="303"/>
      <c r="C2" s="303"/>
      <c r="D2" s="303"/>
      <c r="E2" s="303"/>
      <c r="F2" s="303"/>
      <c r="G2" s="303"/>
      <c r="H2" s="303"/>
      <c r="I2" s="303"/>
      <c r="J2" s="303"/>
      <c r="K2" s="303"/>
      <c r="L2" s="303"/>
      <c r="M2" s="303"/>
      <c r="N2" s="303"/>
      <c r="O2" s="303"/>
      <c r="P2" s="303"/>
    </row>
    <row r="3" spans="1:17" s="31" customFormat="1" ht="15.9" customHeight="1" thickTop="1" thickBot="1">
      <c r="A3" s="305" t="s">
        <v>89</v>
      </c>
      <c r="B3" s="676" t="s">
        <v>357</v>
      </c>
      <c r="C3" s="676" t="s">
        <v>99</v>
      </c>
      <c r="D3" s="677" t="s">
        <v>358</v>
      </c>
      <c r="E3" s="678" t="s">
        <v>98</v>
      </c>
      <c r="F3" s="679" t="s">
        <v>97</v>
      </c>
      <c r="G3" s="306"/>
      <c r="H3" s="676" t="s">
        <v>359</v>
      </c>
      <c r="I3" s="676" t="s">
        <v>96</v>
      </c>
      <c r="J3" s="676" t="s">
        <v>95</v>
      </c>
      <c r="K3" s="676" t="s">
        <v>360</v>
      </c>
      <c r="L3" s="306"/>
      <c r="M3" s="306"/>
      <c r="N3" s="676" t="s">
        <v>361</v>
      </c>
      <c r="O3" s="307"/>
      <c r="P3" s="308"/>
    </row>
    <row r="4" spans="1:17" s="31" customFormat="1" ht="15.9" customHeight="1" thickTop="1" thickBot="1">
      <c r="A4" s="309"/>
      <c r="B4" s="676"/>
      <c r="C4" s="676"/>
      <c r="D4" s="677"/>
      <c r="E4" s="678"/>
      <c r="F4" s="679"/>
      <c r="G4" s="276" t="s">
        <v>94</v>
      </c>
      <c r="H4" s="676"/>
      <c r="I4" s="676"/>
      <c r="J4" s="676"/>
      <c r="K4" s="676"/>
      <c r="L4" s="276" t="s">
        <v>38</v>
      </c>
      <c r="M4" s="276" t="s">
        <v>37</v>
      </c>
      <c r="N4" s="676"/>
      <c r="O4" s="310" t="s">
        <v>93</v>
      </c>
      <c r="P4" s="311" t="s">
        <v>100</v>
      </c>
    </row>
    <row r="5" spans="1:17" s="31" customFormat="1" ht="15.9" customHeight="1" thickTop="1">
      <c r="A5" s="312" t="s">
        <v>19</v>
      </c>
      <c r="B5" s="676"/>
      <c r="C5" s="676"/>
      <c r="D5" s="677"/>
      <c r="E5" s="678"/>
      <c r="F5" s="679"/>
      <c r="G5" s="313"/>
      <c r="H5" s="676"/>
      <c r="I5" s="676"/>
      <c r="J5" s="676"/>
      <c r="K5" s="676"/>
      <c r="L5" s="313"/>
      <c r="M5" s="313"/>
      <c r="N5" s="676"/>
      <c r="O5" s="314"/>
      <c r="P5" s="315"/>
    </row>
    <row r="6" spans="1:17" s="51" customFormat="1" ht="18" customHeight="1">
      <c r="A6" s="276" t="s">
        <v>352</v>
      </c>
      <c r="B6" s="277">
        <v>51670</v>
      </c>
      <c r="C6" s="277">
        <v>19761</v>
      </c>
      <c r="D6" s="316">
        <v>104235</v>
      </c>
      <c r="E6" s="317">
        <v>175666</v>
      </c>
      <c r="F6" s="318">
        <v>2101</v>
      </c>
      <c r="G6" s="277">
        <v>3743</v>
      </c>
      <c r="H6" s="277">
        <v>767</v>
      </c>
      <c r="I6" s="277">
        <v>101760</v>
      </c>
      <c r="J6" s="277">
        <v>26946</v>
      </c>
      <c r="K6" s="277">
        <v>1181</v>
      </c>
      <c r="L6" s="277">
        <v>29621</v>
      </c>
      <c r="M6" s="277">
        <v>5572</v>
      </c>
      <c r="N6" s="277">
        <v>3389</v>
      </c>
      <c r="O6" s="319">
        <v>188</v>
      </c>
      <c r="P6" s="318">
        <v>350933</v>
      </c>
      <c r="Q6" s="52"/>
    </row>
    <row r="7" spans="1:17" s="51" customFormat="1" ht="18" customHeight="1">
      <c r="A7" s="320">
        <v>4</v>
      </c>
      <c r="B7" s="277">
        <v>53545</v>
      </c>
      <c r="C7" s="277">
        <v>20347</v>
      </c>
      <c r="D7" s="316">
        <v>111611</v>
      </c>
      <c r="E7" s="317">
        <v>185503</v>
      </c>
      <c r="F7" s="318">
        <v>1937</v>
      </c>
      <c r="G7" s="277">
        <v>4284</v>
      </c>
      <c r="H7" s="277">
        <v>745</v>
      </c>
      <c r="I7" s="277">
        <v>85694</v>
      </c>
      <c r="J7" s="277">
        <v>29336</v>
      </c>
      <c r="K7" s="277">
        <v>672</v>
      </c>
      <c r="L7" s="277">
        <v>22085</v>
      </c>
      <c r="M7" s="277">
        <v>6953</v>
      </c>
      <c r="N7" s="277">
        <v>3632</v>
      </c>
      <c r="O7" s="319" t="s">
        <v>114</v>
      </c>
      <c r="P7" s="318">
        <v>340841</v>
      </c>
      <c r="Q7" s="52"/>
    </row>
    <row r="8" spans="1:17" s="51" customFormat="1" ht="18" customHeight="1">
      <c r="A8" s="321">
        <v>5</v>
      </c>
      <c r="B8" s="322">
        <f>54825528/1000</f>
        <v>54825.527999999998</v>
      </c>
      <c r="C8" s="322">
        <f>(1091566+18899479+659248+72732)/1000</f>
        <v>20723.025000000001</v>
      </c>
      <c r="D8" s="323">
        <f>112740738/1000</f>
        <v>112740.738</v>
      </c>
      <c r="E8" s="324">
        <f>188289291/1000</f>
        <v>188289.291</v>
      </c>
      <c r="F8" s="325">
        <f>1915546/1000</f>
        <v>1915.546</v>
      </c>
      <c r="G8" s="322">
        <f>4296387/1000</f>
        <v>4296.3869999999997</v>
      </c>
      <c r="H8" s="322">
        <f>741330/1000</f>
        <v>741.33</v>
      </c>
      <c r="I8" s="322">
        <f>71549268/1000</f>
        <v>71549.267999999996</v>
      </c>
      <c r="J8" s="322">
        <f>37095185/1000</f>
        <v>37095.184999999998</v>
      </c>
      <c r="K8" s="322">
        <f>1003134/1000</f>
        <v>1003.134</v>
      </c>
      <c r="L8" s="322">
        <f>16108614/1000</f>
        <v>16108.614</v>
      </c>
      <c r="M8" s="322">
        <f>7396263/1000</f>
        <v>7396.2629999999999</v>
      </c>
      <c r="N8" s="322">
        <f>(2913238+254255)/1000</f>
        <v>3167.4929999999999</v>
      </c>
      <c r="O8" s="326" t="s">
        <v>114</v>
      </c>
      <c r="P8" s="325">
        <f>331562511/1000</f>
        <v>331562.511</v>
      </c>
      <c r="Q8" s="52"/>
    </row>
    <row r="9" spans="1:17" s="25" customFormat="1" ht="12" customHeight="1">
      <c r="A9" s="298"/>
      <c r="B9" s="298"/>
      <c r="C9" s="298"/>
      <c r="D9" s="298"/>
      <c r="E9" s="298"/>
      <c r="F9" s="298"/>
      <c r="G9" s="298"/>
      <c r="H9" s="298"/>
      <c r="I9" s="298"/>
      <c r="J9" s="298"/>
      <c r="K9" s="298"/>
      <c r="L9" s="298"/>
      <c r="M9" s="298"/>
      <c r="N9" s="298"/>
      <c r="O9" s="298"/>
      <c r="P9" s="301" t="s">
        <v>349</v>
      </c>
    </row>
    <row r="10" spans="1:17" s="25" customFormat="1" ht="12" customHeight="1">
      <c r="A10" s="300"/>
      <c r="B10" s="300"/>
      <c r="C10" s="298"/>
      <c r="D10" s="298"/>
      <c r="E10" s="298"/>
      <c r="F10" s="327"/>
      <c r="G10" s="298"/>
      <c r="H10" s="298"/>
      <c r="I10" s="298"/>
      <c r="J10" s="298"/>
      <c r="K10" s="298"/>
      <c r="L10" s="298"/>
      <c r="M10" s="328"/>
      <c r="N10" s="328"/>
      <c r="O10" s="328"/>
      <c r="P10" s="301" t="s">
        <v>355</v>
      </c>
    </row>
    <row r="11" spans="1:17">
      <c r="B11" s="10"/>
      <c r="C11" s="10"/>
      <c r="D11" s="10"/>
      <c r="E11" s="10"/>
    </row>
    <row r="12" spans="1:17">
      <c r="B12" s="10"/>
      <c r="C12" s="10"/>
      <c r="D12" s="10"/>
      <c r="E12" s="10"/>
    </row>
    <row r="13" spans="1:17">
      <c r="B13" s="10"/>
      <c r="C13" s="10"/>
      <c r="D13" s="10"/>
      <c r="E13" s="10"/>
    </row>
    <row r="14" spans="1:17">
      <c r="B14" s="10"/>
      <c r="C14" s="10"/>
      <c r="D14" s="10"/>
      <c r="E14" s="10"/>
    </row>
    <row r="17" spans="7:7">
      <c r="G17" s="50"/>
    </row>
  </sheetData>
  <mergeCells count="10">
    <mergeCell ref="I3:I5"/>
    <mergeCell ref="J3:J5"/>
    <mergeCell ref="K3:K5"/>
    <mergeCell ref="N3:N5"/>
    <mergeCell ref="B3:B5"/>
    <mergeCell ref="C3:C5"/>
    <mergeCell ref="D3:D5"/>
    <mergeCell ref="E3:E5"/>
    <mergeCell ref="F3:F5"/>
    <mergeCell ref="H3:H5"/>
  </mergeCells>
  <phoneticPr fontId="3"/>
  <printOptions gridLinesSet="0"/>
  <pageMargins left="0.59055118110236227" right="0.59055118110236227" top="0.98425196850393704" bottom="0.98425196850393704" header="0.51181102362204722" footer="0.31496062992125984"/>
  <pageSetup paperSize="9" scale="96" fitToWidth="0"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2-1</vt:lpstr>
      <vt:lpstr>2-2</vt:lpstr>
      <vt:lpstr>2-3</vt:lpstr>
      <vt:lpstr>2-4</vt:lpstr>
      <vt:lpstr>2-5</vt:lpstr>
      <vt:lpstr>2-6</vt:lpstr>
      <vt:lpstr>2-7(1)</vt:lpstr>
      <vt:lpstr>2-7(2)</vt:lpstr>
      <vt:lpstr>2-8(1)</vt:lpstr>
      <vt:lpstr>2-8(2)</vt:lpstr>
      <vt:lpstr>2-8(3)</vt:lpstr>
      <vt:lpstr>2-9(1)</vt:lpstr>
      <vt:lpstr>2-9(2)</vt:lpstr>
      <vt:lpstr>2-10(1)</vt:lpstr>
      <vt:lpstr>2-10(2)</vt:lpstr>
      <vt:lpstr>2-11(1)</vt:lpstr>
      <vt:lpstr>2-11(2)</vt:lpstr>
      <vt:lpstr>2-12</vt:lpstr>
      <vt:lpstr>2-13</vt:lpstr>
      <vt:lpstr>2-14</vt:lpstr>
      <vt:lpstr>2-15</vt:lpstr>
      <vt:lpstr>2-16</vt:lpstr>
      <vt:lpstr>2-17</vt:lpstr>
      <vt:lpstr>2-18</vt:lpstr>
      <vt:lpstr>2-19</vt:lpstr>
      <vt:lpstr>2-20</vt:lpstr>
      <vt:lpstr>2-21</vt:lpstr>
      <vt:lpstr>2-22</vt:lpstr>
      <vt:lpstr>2-23</vt:lpstr>
      <vt:lpstr>2-24</vt:lpstr>
      <vt:lpstr>'2-1'!Print_Area</vt:lpstr>
      <vt:lpstr>'2-10(1)'!Print_Area</vt:lpstr>
      <vt:lpstr>'2-10(2)'!Print_Area</vt:lpstr>
      <vt:lpstr>'2-11(1)'!Print_Area</vt:lpstr>
      <vt:lpstr>'2-11(2)'!Print_Area</vt:lpstr>
      <vt:lpstr>'2-12'!Print_Area</vt:lpstr>
      <vt:lpstr>'2-13'!Print_Area</vt:lpstr>
      <vt:lpstr>'2-14'!Print_Area</vt:lpstr>
      <vt:lpstr>'2-15'!Print_Area</vt:lpstr>
      <vt:lpstr>'2-16'!Print_Area</vt:lpstr>
      <vt:lpstr>'2-17'!Print_Area</vt:lpstr>
      <vt:lpstr>'2-18'!Print_Area</vt:lpstr>
      <vt:lpstr>'2-19'!Print_Area</vt:lpstr>
      <vt:lpstr>'2-2'!Print_Area</vt:lpstr>
      <vt:lpstr>'2-20'!Print_Area</vt:lpstr>
      <vt:lpstr>'2-21'!Print_Area</vt:lpstr>
      <vt:lpstr>'2-22'!Print_Area</vt:lpstr>
      <vt:lpstr>'2-23'!Print_Area</vt:lpstr>
      <vt:lpstr>'2-24'!Print_Area</vt:lpstr>
      <vt:lpstr>'2-3'!Print_Area</vt:lpstr>
      <vt:lpstr>'2-4'!Print_Area</vt:lpstr>
      <vt:lpstr>'2-5'!Print_Area</vt:lpstr>
      <vt:lpstr>'2-6'!Print_Area</vt:lpstr>
      <vt:lpstr>'2-7(1)'!Print_Area</vt:lpstr>
      <vt:lpstr>'2-7(2)'!Print_Area</vt:lpstr>
      <vt:lpstr>'2-8(1)'!Print_Area</vt:lpstr>
      <vt:lpstr>'2-8(2)'!Print_Area</vt:lpstr>
      <vt:lpstr>'2-8(3)'!Print_Area</vt:lpstr>
      <vt:lpstr>'2-9(1)'!Print_Area</vt:lpstr>
      <vt:lpstr>'2-9(2)'!Print_Area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2023-09-05T07:08:16Z</dcterms:created>
  <dcterms:modified xsi:type="dcterms:W3CDTF">2024-09-20T09:06:07Z</dcterms:modified>
</cp:coreProperties>
</file>